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715F1B2D-E30B-4319-927F-E8D57A53C4EE}" xr6:coauthVersionLast="47" xr6:coauthVersionMax="47" xr10:uidLastSave="{00000000-0000-0000-0000-000000000000}"/>
  <bookViews>
    <workbookView xWindow="-120" yWindow="-120" windowWidth="38640" windowHeight="15720"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Deals!$D$110</definedName>
    <definedName name="CISOEndDate">Deals!$D$111</definedName>
    <definedName name="cRows">COUNTA(#REF!)</definedName>
    <definedName name="CurrDate">[1]Top!#REF!</definedName>
    <definedName name="DataAll">Deals!$A$2:$AF$248</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Deals!$C$109</definedName>
    <definedName name="EndofDType">Deals!$B$109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Deals!$A$1:$AF$129</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80000"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10" i="1"/>
  <c r="AE10" i="1"/>
  <c r="AF10" i="1"/>
  <c r="AD11" i="1"/>
  <c r="AE11" i="1"/>
  <c r="AF11" i="1"/>
  <c r="AD12" i="1"/>
  <c r="AE12" i="1"/>
  <c r="AF12" i="1"/>
  <c r="AD13" i="1"/>
  <c r="D17" i="1"/>
  <c r="AD17" i="1"/>
  <c r="AE17" i="1"/>
  <c r="AF17"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D40" i="1"/>
  <c r="AD40" i="1"/>
  <c r="AE40" i="1"/>
  <c r="AF40" i="1"/>
  <c r="AD41" i="1"/>
  <c r="AE41" i="1"/>
  <c r="D42" i="1"/>
  <c r="AD42" i="1"/>
  <c r="AE42" i="1"/>
  <c r="AF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D64"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4" i="1"/>
  <c r="AE74" i="1"/>
  <c r="AF74" i="1"/>
  <c r="AD75" i="1"/>
  <c r="AE75" i="1"/>
  <c r="AF75" i="1"/>
  <c r="AD76" i="1"/>
  <c r="AE76" i="1"/>
  <c r="AF76" i="1"/>
  <c r="AD77" i="1"/>
  <c r="AE77" i="1"/>
  <c r="AF77" i="1"/>
  <c r="AD79" i="1"/>
  <c r="AE79" i="1"/>
  <c r="AF79" i="1"/>
  <c r="AD80" i="1"/>
  <c r="AE80" i="1"/>
  <c r="AF80" i="1"/>
  <c r="AD82" i="1"/>
  <c r="AE82" i="1"/>
  <c r="AF82" i="1"/>
  <c r="AD83" i="1"/>
  <c r="AE83" i="1"/>
  <c r="AF83" i="1"/>
  <c r="AD84" i="1"/>
  <c r="AE84" i="1"/>
  <c r="AF84" i="1"/>
  <c r="AD85" i="1"/>
  <c r="AE85" i="1"/>
  <c r="AF85" i="1"/>
  <c r="AD87" i="1"/>
  <c r="AE87" i="1"/>
  <c r="AF87" i="1"/>
  <c r="AD88" i="1"/>
  <c r="AE88" i="1"/>
  <c r="AF88" i="1"/>
  <c r="AD90" i="1"/>
  <c r="AE90" i="1"/>
  <c r="AF90" i="1"/>
  <c r="AD91" i="1"/>
  <c r="AE91" i="1"/>
  <c r="AF91" i="1"/>
  <c r="AD93" i="1"/>
  <c r="AE93" i="1"/>
  <c r="AF93" i="1"/>
  <c r="AD94" i="1"/>
  <c r="AE94" i="1"/>
  <c r="AF94" i="1"/>
  <c r="AD95" i="1"/>
  <c r="AE95" i="1"/>
  <c r="AD96" i="1"/>
  <c r="AE96" i="1"/>
  <c r="AD97" i="1"/>
  <c r="AE97" i="1"/>
  <c r="AF97" i="1"/>
  <c r="AD98" i="1"/>
  <c r="AE98" i="1"/>
  <c r="AF98" i="1"/>
  <c r="AD99" i="1"/>
  <c r="AE99" i="1"/>
  <c r="AF99" i="1"/>
  <c r="AD100" i="1"/>
  <c r="AE100" i="1"/>
  <c r="AF100" i="1"/>
  <c r="AD101" i="1"/>
  <c r="AE101" i="1"/>
  <c r="AF101" i="1"/>
  <c r="AD102" i="1"/>
  <c r="AE102" i="1"/>
  <c r="AD104" i="1"/>
  <c r="AE104" i="1"/>
  <c r="AF104" i="1"/>
  <c r="AD105" i="1"/>
  <c r="AE105" i="1"/>
  <c r="AF105" i="1"/>
  <c r="AD106" i="1"/>
  <c r="AE106" i="1"/>
  <c r="AF106" i="1"/>
  <c r="AD107" i="1"/>
  <c r="AE107" i="1"/>
  <c r="AF107" i="1"/>
  <c r="AD115" i="1"/>
  <c r="AE115" i="1"/>
  <c r="AD116" i="1"/>
  <c r="AE116" i="1"/>
  <c r="AD120" i="1"/>
  <c r="AE120"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 guzman</author>
    <author>A satisfied Microsoft Office user</author>
  </authors>
  <commentList>
    <comment ref="P58" authorId="0" shapeId="0">
      <text>
        <r>
          <rPr>
            <b/>
            <sz val="8"/>
            <color indexed="81"/>
            <rFont val="Tahoma"/>
          </rPr>
          <t>m guzman:</t>
        </r>
        <r>
          <rPr>
            <sz val="8"/>
            <color indexed="81"/>
            <rFont val="Tahoma"/>
          </rPr>
          <t xml:space="preserve">
purchasing spin rom LADWP</t>
        </r>
      </text>
    </comment>
    <comment ref="Q58" authorId="0" shapeId="0">
      <text>
        <r>
          <rPr>
            <b/>
            <sz val="8"/>
            <color indexed="81"/>
            <rFont val="Tahoma"/>
          </rPr>
          <t>m guzman:</t>
        </r>
        <r>
          <rPr>
            <sz val="8"/>
            <color indexed="81"/>
            <rFont val="Tahoma"/>
          </rPr>
          <t xml:space="preserve">
purchasing spin rom LADWP</t>
        </r>
      </text>
    </comment>
    <comment ref="R58" authorId="0" shapeId="0">
      <text>
        <r>
          <rPr>
            <b/>
            <sz val="8"/>
            <color indexed="81"/>
            <rFont val="Tahoma"/>
          </rPr>
          <t>m guzman:</t>
        </r>
        <r>
          <rPr>
            <sz val="8"/>
            <color indexed="81"/>
            <rFont val="Tahoma"/>
          </rPr>
          <t xml:space="preserve">
purchasing spin rom LADWP</t>
        </r>
      </text>
    </comment>
    <comment ref="S58" authorId="0" shapeId="0">
      <text>
        <r>
          <rPr>
            <b/>
            <sz val="8"/>
            <color indexed="81"/>
            <rFont val="Tahoma"/>
          </rPr>
          <t>m guzman:</t>
        </r>
        <r>
          <rPr>
            <sz val="8"/>
            <color indexed="81"/>
            <rFont val="Tahoma"/>
          </rPr>
          <t xml:space="preserve">
purchasing spin rom LADWP</t>
        </r>
      </text>
    </comment>
    <comment ref="T58" authorId="0" shapeId="0">
      <text>
        <r>
          <rPr>
            <b/>
            <sz val="8"/>
            <color indexed="81"/>
            <rFont val="Tahoma"/>
          </rPr>
          <t>m guzman:</t>
        </r>
        <r>
          <rPr>
            <sz val="8"/>
            <color indexed="81"/>
            <rFont val="Tahoma"/>
          </rPr>
          <t xml:space="preserve">
purchasing 50 mw spin
</t>
        </r>
      </text>
    </comment>
    <comment ref="U58" authorId="0" shapeId="0">
      <text>
        <r>
          <rPr>
            <b/>
            <sz val="8"/>
            <color indexed="81"/>
            <rFont val="Tahoma"/>
          </rPr>
          <t>m guzman:</t>
        </r>
        <r>
          <rPr>
            <sz val="8"/>
            <color indexed="81"/>
            <rFont val="Tahoma"/>
          </rPr>
          <t xml:space="preserve">
purchasing 50 mw spin
</t>
        </r>
      </text>
    </comment>
    <comment ref="V58" authorId="0" shapeId="0">
      <text>
        <r>
          <rPr>
            <b/>
            <sz val="8"/>
            <color indexed="81"/>
            <rFont val="Tahoma"/>
          </rPr>
          <t>m guzman:</t>
        </r>
        <r>
          <rPr>
            <sz val="8"/>
            <color indexed="81"/>
            <rFont val="Tahoma"/>
          </rPr>
          <t xml:space="preserve">
purchasing 50 mw spin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<sst xmlns="http://schemas.openxmlformats.org/spreadsheetml/2006/main" count="765" uniqueCount="388">
  <si>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</si>
  <si>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</si>
  <si>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</si>
  <si>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</si>
  <si>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</si>
  <si>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</si>
  <si>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</si>
  <si>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</si>
  <si>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</si>
  <si>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</si>
  <si>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</si>
  <si>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</si>
  <si>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</si>
  <si>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</si>
  <si>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</si>
  <si>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</si>
  <si>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</si>
  <si>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</si>
  <si>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</si>
  <si>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</si>
  <si>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</si>
  <si>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</si>
  <si>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</si>
  <si>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</si>
  <si>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</si>
  <si>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</si>
  <si>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</si>
  <si>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</si>
  <si>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</si>
  <si>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</si>
  <si>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</si>
  <si>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</si>
  <si>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</si>
  <si>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</si>
  <si>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</si>
  <si>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</si>
  <si>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</si>
  <si>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</si>
  <si>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</si>
  <si>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</si>
  <si>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</si>
  <si>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</si>
  <si>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</si>
  <si>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</si>
  <si>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</si>
  <si>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</si>
  <si>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</si>
  <si>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</si>
  <si>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</si>
  <si>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</si>
  <si>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</si>
  <si>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</si>
  <si>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</si>
  <si>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</si>
  <si>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</si>
  <si>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</si>
  <si>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</si>
  <si>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</si>
  <si>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</si>
  <si>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</si>
  <si>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</si>
  <si>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</si>
  <si>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</si>
  <si>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</si>
  <si>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</si>
  <si>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</si>
  <si>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</si>
  <si>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</si>
  <si>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</si>
  <si>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</si>
  <si>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</si>
  <si>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</si>
  <si>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</si>
  <si>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</si>
  <si>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</si>
  <si>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</si>
  <si>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</si>
  <si>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</si>
  <si>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</si>
  <si>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</si>
  <si>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</si>
  <si>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</si>
  <si>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</si>
  <si>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</si>
  <si>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</si>
  <si>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</si>
  <si>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</si>
  <si>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</si>
  <si>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</si>
  <si>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</si>
  <si>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</si>
  <si>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</si>
  <si>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</si>
  <si>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</si>
  <si>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</si>
  <si>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</si>
  <si>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</si>
  <si>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</si>
  <si>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</si>
  <si>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</si>
  <si>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</si>
  <si>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</si>
  <si>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</si>
  <si>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</si>
  <si>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</si>
  <si>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</si>
  <si>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</si>
  <si>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</si>
  <si>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</si>
  <si>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</si>
  <si>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</si>
  <si>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</si>
  <si>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</si>
  <si>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</si>
  <si>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</si>
  <si>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</si>
  <si>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</si>
  <si>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</si>
  <si>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</si>
  <si>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</si>
  <si>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</si>
  <si>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</si>
  <si>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</si>
  <si>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</si>
  <si>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</si>
  <si>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</si>
  <si>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</si>
  <si>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</si>
  <si>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</si>
  <si>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</si>
  <si>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</si>
  <si>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</si>
  <si>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</si>
  <si>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</si>
  <si>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</si>
  <si>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</si>
  <si>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</si>
  <si>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</si>
  <si>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</si>
  <si>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</si>
  <si>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</si>
  <si>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</si>
  <si>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</si>
  <si>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</si>
  <si>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</si>
  <si>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</si>
  <si>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</si>
  <si>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</si>
  <si>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</si>
  <si>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</si>
  <si>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</si>
  <si>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</si>
  <si>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</si>
  <si>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</si>
  <si>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</si>
  <si>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</si>
  <si>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</si>
  <si>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</si>
  <si>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</si>
  <si>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</si>
  <si>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</si>
  <si>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</si>
  <si>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</si>
  <si>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</si>
  <si>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</si>
  <si>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</si>
  <si>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</si>
  <si>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</si>
  <si>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</si>
  <si>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</si>
  <si>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</si>
  <si>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</si>
  <si>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</si>
  <si>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</si>
  <si>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</si>
  <si>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</si>
  <si>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</si>
  <si>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</si>
  <si>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</si>
  <si>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</si>
  <si>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</si>
  <si>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</si>
  <si>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</si>
  <si>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</si>
  <si>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</si>
  <si>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</si>
  <si>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</si>
  <si>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</si>
  <si>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</si>
  <si>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</si>
  <si>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</si>
  <si>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</si>
  <si>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</si>
  <si>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</si>
  <si>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</si>
  <si>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</si>
  <si>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</si>
  <si>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</si>
  <si>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</si>
  <si>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</si>
  <si>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</si>
  <si>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</si>
  <si>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</si>
  <si>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</si>
  <si>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</si>
  <si>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</si>
  <si>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</si>
  <si>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</si>
  <si>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</si>
  <si>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</si>
  <si>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</si>
  <si>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</si>
  <si>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</si>
  <si>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</si>
  <si>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</si>
  <si>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</si>
  <si>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</si>
  <si>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</si>
  <si>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</si>
  <si>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</si>
  <si>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</si>
  <si>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</si>
  <si>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</si>
  <si>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</si>
  <si>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</si>
  <si>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</si>
  <si>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</si>
  <si>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</si>
  <si>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</si>
  <si>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</si>
  <si>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</si>
  <si>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</si>
  <si>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</si>
  <si>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</si>
  <si>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</si>
  <si>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</si>
  <si>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</si>
  <si>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</si>
  <si>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</si>
  <si>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</si>
  <si>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</si>
  <si>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</si>
  <si>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</si>
  <si>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</si>
  <si>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</si>
  <si>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</si>
  <si>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</si>
  <si>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</si>
  <si>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</si>
  <si>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</si>
  <si>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</si>
  <si>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</si>
  <si>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</si>
  <si>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</si>
  <si>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</si>
  <si>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</si>
  <si>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</si>
  <si>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</si>
  <si>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</si>
  <si>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</si>
  <si>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</si>
  <si>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</si>
  <si>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</si>
  <si>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</si>
  <si>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</si>
  <si>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</si>
  <si>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</si>
  <si>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</si>
  <si>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</si>
  <si>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</si>
  <si>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</si>
  <si>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</si>
  <si>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</si>
  <si>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</si>
  <si>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</si>
  <si>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</si>
  <si>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</si>
  <si>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</si>
  <si>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</si>
  <si>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</si>
  <si>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</si>
  <si>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</si>
  <si>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</si>
  <si>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</si>
  <si>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</si>
  <si>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</si>
  <si>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</si>
  <si>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</si>
  <si>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</si>
  <si>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</si>
  <si>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</si>
  <si>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</si>
  <si>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</si>
  <si>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</si>
  <si>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</si>
  <si>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</si>
  <si>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</si>
  <si>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</si>
  <si>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</si>
  <si>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</si>
  <si>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</si>
  <si>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</si>
  <si>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</si>
  <si>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</si>
  <si>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</si>
  <si>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</si>
  <si>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</si>
  <si>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</si>
  <si>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</si>
  <si>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</si>
  <si>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</si>
  <si>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</si>
  <si>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</si>
  <si>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</si>
  <si>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</si>
  <si>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</si>
  <si>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</si>
  <si>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</si>
  <si>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</si>
  <si>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</si>
  <si>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</si>
  <si>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</si>
  <si>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</si>
  <si>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</si>
  <si>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</si>
  <si>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</si>
  <si>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</si>
  <si>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</si>
  <si>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</si>
  <si>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</si>
  <si>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</si>
  <si>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</si>
  <si>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</si>
  <si>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</si>
  <si>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</si>
  <si>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</si>
  <si>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</si>
  <si>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</si>
  <si>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</si>
  <si>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</si>
  <si>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</si>
  <si>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</si>
  <si>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</si>
  <si>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</si>
  <si>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</si>
  <si>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</si>
  <si>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</si>
  <si>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</si>
  <si>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</si>
  <si>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</si>
  <si>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</si>
  <si>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</si>
  <si>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</si>
  <si>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</si>
  <si>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</si>
  <si>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</si>
  <si>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</si>
  <si>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</si>
  <si>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</si>
  <si>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</si>
  <si>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</si>
  <si>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</si>
  <si>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</si>
  <si>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</si>
  <si>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PROPOSED SALES</t>
  </si>
  <si>
    <t>PALO VERDE</t>
  </si>
  <si>
    <t>FOUR CORNERS</t>
  </si>
  <si>
    <t>DISPATCH PROPOSED PURCHASES</t>
  </si>
  <si>
    <t>Dispatch Note(Copy and Paste from Lotus Notes)</t>
  </si>
  <si>
    <t>ISO</t>
  </si>
  <si>
    <t>NEWMAN 1 ,UNAV, -0  , 75  , 39  , 83  ,  0  ,1</t>
  </si>
  <si>
    <t>IPC</t>
  </si>
  <si>
    <t>NEWMN/GT1,UNAV,  0  , 60  , 18  , 60  ,  0  ,1</t>
  </si>
  <si>
    <t>NEWMN/GT2,UNAV,  0  , 60  , 18  , 60  ,  0  ,1</t>
  </si>
  <si>
    <t>Econ</t>
  </si>
  <si>
    <t>Operating</t>
  </si>
  <si>
    <t>MWh's</t>
  </si>
  <si>
    <t>CISO</t>
  </si>
  <si>
    <t>RIOGRAN 8,UNAV,  0  ,121  , 36  ,151  ,  0  ,1</t>
  </si>
  <si>
    <t>Firm</t>
  </si>
  <si>
    <t>Tristate</t>
  </si>
  <si>
    <t>PALOVERDE,MANL,602  ,600  ,600  ,600  ,  0  ,1</t>
  </si>
  <si>
    <t>FOURCRNRS,UNAV, -2  , 90  , 90  ,104  ,  0  ,1</t>
  </si>
  <si>
    <t>NEWMAN 2 ,MANL, 58  , 77  , 34  , 83  ,  0  ,1</t>
  </si>
  <si>
    <t>NEWMAN 3 ,AVAL, -0  ,100  , 35  ,103  ,  0  ,1</t>
  </si>
  <si>
    <t>NEWMAN 4 ,ECON,180  ,215  , 86  ,214  , 35  ,1</t>
  </si>
  <si>
    <t xml:space="preserve">NEWMAN   ,, 238 ,  292,  120, 297 ,  35 , </t>
  </si>
  <si>
    <t>LAMBDA, 23.51,  718,  722,   96,  -52,    0, 9626,0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</si>
</sst>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2"/>
      <color indexed="56"/>
      <name val="Arial"/>
      <family val="2"/>
    </font>
    <font>
      <b/>
      <sz val="14"/>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4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71" fillId="2" borderId="117" xfId="0" applyFont="1" applyFill="1" applyBorder="1" applyAlignment="1"/>
    <xf numFmtId="0" fontId="72" fillId="2" borderId="0" xfId="0" applyFont="1" applyFill="1" applyBorder="1" applyAlignment="1"/>
    <xf numFmtId="0" fontId="51" fillId="16" borderId="68" xfId="0" applyFont="1" applyFill="1" applyBorder="1" applyAlignment="1"/>
    <xf numFmtId="0" fontId="31" fillId="16" borderId="3" xfId="0" applyFont="1" applyFill="1" applyBorder="1" applyAlignment="1">
      <alignment wrapText="1"/>
    </xf>
    <xf numFmtId="170" fontId="4" fillId="16" borderId="3" xfId="0" applyNumberFormat="1" applyFont="1" applyFill="1" applyBorder="1" applyAlignment="1">
      <alignment wrapText="1"/>
    </xf>
    <xf numFmtId="4" fontId="51" fillId="16" borderId="69" xfId="0" applyNumberFormat="1" applyFont="1" applyFill="1" applyBorder="1" applyAlignment="1">
      <alignment wrapText="1"/>
    </xf>
    <xf numFmtId="0" fontId="31" fillId="16" borderId="58" xfId="0" applyFont="1" applyFill="1" applyBorder="1" applyAlignment="1">
      <alignment wrapText="1"/>
    </xf>
    <xf numFmtId="0" fontId="51" fillId="16" borderId="60" xfId="0" applyFont="1" applyFill="1" applyBorder="1" applyAlignment="1"/>
    <xf numFmtId="0" fontId="31" fillId="16" borderId="60" xfId="0" applyFont="1" applyFill="1" applyBorder="1" applyAlignment="1">
      <alignment wrapText="1"/>
    </xf>
    <xf numFmtId="170" fontId="4" fillId="16" borderId="60" xfId="0" applyNumberFormat="1" applyFont="1" applyFill="1" applyBorder="1" applyAlignment="1">
      <alignment wrapText="1"/>
    </xf>
    <xf numFmtId="4" fontId="51" fillId="16" borderId="60" xfId="0" applyNumberFormat="1" applyFont="1" applyFill="1" applyBorder="1" applyAlignment="1">
      <alignment wrapText="1"/>
    </xf>
    <xf numFmtId="0" fontId="31" fillId="16" borderId="83" xfId="0" applyFont="1" applyFill="1" applyBorder="1" applyAlignment="1">
      <alignment wrapText="1"/>
    </xf>
    <xf numFmtId="0" fontId="31" fillId="16" borderId="61" xfId="0" applyFont="1" applyFill="1" applyBorder="1" applyAlignment="1">
      <alignment wrapText="1"/>
    </xf>
    <xf numFmtId="0" fontId="51" fillId="16" borderId="3" xfId="0" applyFont="1" applyFill="1" applyBorder="1" applyAlignment="1"/>
    <xf numFmtId="4" fontId="51" fillId="16" borderId="3" xfId="0" applyNumberFormat="1" applyFont="1" applyFill="1" applyBorder="1" applyAlignment="1">
      <alignment wrapText="1"/>
    </xf>
    <xf numFmtId="0" fontId="31" fillId="16" borderId="69" xfId="0" applyFont="1" applyFill="1" applyBorder="1" applyAlignment="1">
      <alignment wrapText="1"/>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4" fillId="12" borderId="68" xfId="0" applyFont="1" applyFill="1" applyBorder="1" applyAlignment="1"/>
    <xf numFmtId="0" fontId="4" fillId="12" borderId="45"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16"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16" borderId="61" xfId="0" applyFont="1" applyFill="1" applyBorder="1" applyAlignment="1">
      <alignment wrapText="1"/>
    </xf>
    <xf numFmtId="0" fontId="4" fillId="16" borderId="69" xfId="0" applyFont="1" applyFill="1" applyBorder="1" applyAlignment="1">
      <alignment wrapText="1"/>
    </xf>
    <xf numFmtId="0" fontId="4" fillId="4" borderId="61" xfId="0" applyFont="1" applyFill="1" applyBorder="1" applyAlignment="1">
      <alignment wrapText="1"/>
    </xf>
    <xf numFmtId="0" fontId="4" fillId="4" borderId="69"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28D6B1B9-A181-799A-4453-DA003A27A06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AE9153A9-8280-EDD9-2D96-F2AFC297DF0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110</xdr:row>
      <xdr:rowOff>76200</xdr:rowOff>
    </xdr:from>
    <xdr:to>
      <xdr:col>22</xdr:col>
      <xdr:colOff>123825</xdr:colOff>
      <xdr:row>121</xdr:row>
      <xdr:rowOff>0</xdr:rowOff>
    </xdr:to>
    <xdr:sp macro="" textlink="">
      <xdr:nvSpPr>
        <xdr:cNvPr id="2303" name="Text Box 255">
          <a:extLst>
            <a:ext uri="{FF2B5EF4-FFF2-40B4-BE49-F238E27FC236}">
              <a16:creationId xmlns:a16="http://schemas.microsoft.com/office/drawing/2014/main" id="{6DECFC85-C031-475F-4939-B8AE729D45DA}"/>
            </a:ext>
          </a:extLst>
        </xdr:cNvPr>
        <xdr:cNvSpPr txBox="1">
          <a:spLocks noChangeArrowheads="1"/>
        </xdr:cNvSpPr>
      </xdr:nvSpPr>
      <xdr:spPr bwMode="auto">
        <a:xfrm>
          <a:off x="171450" y="10458450"/>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900"/>
            </a:lnSpc>
            <a:defRPr sz="1000"/>
          </a:pPr>
          <a:r>
            <a:rPr lang="en-US" sz="1000" b="0" i="0" u="none" strike="noStrike" baseline="0">
              <a:solidFill>
                <a:srgbClr val="000000"/>
              </a:solidFill>
              <a:latin typeface="Arial"/>
              <a:cs typeface="Arial"/>
            </a:rPr>
            <a:t>Attached is EPE's unit commitment for Friday, January 4.  ENRON/Dispatch,</a:t>
          </a:r>
        </a:p>
        <a:p>
          <a:pPr algn="l" rtl="0">
            <a:lnSpc>
              <a:spcPts val="900"/>
            </a:lnSpc>
            <a:defRPr sz="1000"/>
          </a:pPr>
          <a:r>
            <a:rPr lang="en-US" sz="1000" b="0" i="0" u="none" strike="noStrike" baseline="0">
              <a:solidFill>
                <a:srgbClr val="000000"/>
              </a:solidFill>
              <a:latin typeface="Arial"/>
              <a:cs typeface="Arial"/>
            </a:rPr>
            <a:t>with NM-2 on-line  now we can bring down one of the GTs to 7 MW in the</a:t>
          </a:r>
        </a:p>
        <a:p>
          <a:pPr algn="l" rtl="0">
            <a:lnSpc>
              <a:spcPts val="900"/>
            </a:lnSpc>
            <a:defRPr sz="1000"/>
          </a:pPr>
          <a:r>
            <a:rPr lang="en-US" sz="1000" b="0" i="0" u="none" strike="noStrike" baseline="0">
              <a:solidFill>
                <a:srgbClr val="000000"/>
              </a:solidFill>
              <a:latin typeface="Arial"/>
              <a:cs typeface="Arial"/>
            </a:rPr>
            <a:t>middle of the night.  ENRON, notice proposed purchase for HE 07:00, up to</a:t>
          </a:r>
        </a:p>
        <a:p>
          <a:pPr algn="l" rtl="0">
            <a:lnSpc>
              <a:spcPts val="900"/>
            </a:lnSpc>
            <a:defRPr sz="1000"/>
          </a:pPr>
          <a:r>
            <a:rPr lang="en-US" sz="1000" b="0" i="0" u="none" strike="noStrike" baseline="0">
              <a:solidFill>
                <a:srgbClr val="000000"/>
              </a:solidFill>
              <a:latin typeface="Arial"/>
              <a:cs typeface="Arial"/>
            </a:rPr>
            <a:t>100 MW depending on actual operating conditions.  We need to bring up the</a:t>
          </a:r>
        </a:p>
        <a:p>
          <a:pPr algn="l" rtl="0">
            <a:lnSpc>
              <a:spcPts val="900"/>
            </a:lnSpc>
            <a:defRPr sz="1000"/>
          </a:pPr>
          <a:r>
            <a:rPr lang="en-US" sz="1000" b="0" i="0" u="none" strike="noStrike" baseline="0">
              <a:solidFill>
                <a:srgbClr val="000000"/>
              </a:solidFill>
              <a:latin typeface="Arial"/>
              <a:cs typeface="Arial"/>
            </a:rPr>
            <a:t>steam turbine at NM-4 earlier to be ready for the morning spike in load.</a:t>
          </a:r>
        </a:p>
        <a:p>
          <a:pPr algn="l" rtl="0">
            <a:lnSpc>
              <a:spcPts val="900"/>
            </a:lnSpc>
            <a:defRPr sz="1000"/>
          </a:pPr>
          <a:r>
            <a:rPr lang="en-US" sz="1000" b="0" i="0" u="none" strike="noStrike" baseline="0">
              <a:solidFill>
                <a:srgbClr val="000000"/>
              </a:solidFill>
              <a:latin typeface="Arial"/>
              <a:cs typeface="Arial"/>
            </a:rPr>
            <a:t>Let's try to follow the unit commitment as much as possible, this morning</a:t>
          </a:r>
        </a:p>
        <a:p>
          <a:pPr algn="l" rtl="0">
            <a:lnSpc>
              <a:spcPts val="900"/>
            </a:lnSpc>
            <a:defRPr sz="1000"/>
          </a:pPr>
          <a:r>
            <a:rPr lang="en-US" sz="1000" b="0" i="0" u="none" strike="noStrike" baseline="0">
              <a:solidFill>
                <a:srgbClr val="000000"/>
              </a:solidFill>
              <a:latin typeface="Arial"/>
              <a:cs typeface="Arial"/>
            </a:rPr>
            <a:t>the units were swinging like crazy and EPE was pushing power for almost 1/2</a:t>
          </a:r>
        </a:p>
        <a:p>
          <a:pPr algn="l" rtl="0">
            <a:lnSpc>
              <a:spcPts val="900"/>
            </a:lnSpc>
            <a:defRPr sz="1000"/>
          </a:pPr>
          <a:r>
            <a:rPr lang="en-US" sz="1000" b="0" i="0" u="none" strike="noStrike" baseline="0">
              <a:solidFill>
                <a:srgbClr val="000000"/>
              </a:solidFill>
              <a:latin typeface="Arial"/>
              <a:cs typeface="Arial"/>
            </a:rPr>
            <a:t>hour.  As always, if there is any questions, please call me at 4181 or</a:t>
          </a:r>
        </a:p>
        <a:p>
          <a:pPr algn="l" rtl="0">
            <a:lnSpc>
              <a:spcPts val="900"/>
            </a:lnSpc>
            <a:defRPr sz="1000"/>
          </a:pPr>
          <a:r>
            <a:rPr lang="en-US" sz="1000" b="0" i="0" u="none" strike="noStrike" baseline="0">
              <a:solidFill>
                <a:srgbClr val="000000"/>
              </a:solidFill>
              <a:latin typeface="Arial"/>
              <a:cs typeface="Arial"/>
            </a:rPr>
            <a:t>5808.</a:t>
          </a: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126</xdr:row>
      <xdr:rowOff>0</xdr:rowOff>
    </xdr:from>
    <xdr:to>
      <xdr:col>22</xdr:col>
      <xdr:colOff>66675</xdr:colOff>
      <xdr:row>132</xdr:row>
      <xdr:rowOff>47625</xdr:rowOff>
    </xdr:to>
    <xdr:sp macro="" textlink="">
      <xdr:nvSpPr>
        <xdr:cNvPr id="10463" name="Text Box 1247">
          <a:extLst>
            <a:ext uri="{FF2B5EF4-FFF2-40B4-BE49-F238E27FC236}">
              <a16:creationId xmlns:a16="http://schemas.microsoft.com/office/drawing/2014/main" id="{7B99D33F-C943-DF62-B97E-832D3BFF3433}"/>
            </a:ext>
          </a:extLst>
        </xdr:cNvPr>
        <xdr:cNvSpPr txBox="1">
          <a:spLocks noChangeArrowheads="1"/>
        </xdr:cNvSpPr>
      </xdr:nvSpPr>
      <xdr:spPr bwMode="auto">
        <a:xfrm>
          <a:off x="209550" y="13173075"/>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4AAED6E5-75EB-0A9B-7D86-851A235F060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22393631-7CE8-63F6-B78F-5DD850B94E6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5117B730-246E-4E32-2F5E-7579CB9B774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8CAB43EF-BAEE-1C72-DC53-F4F395C513A3}"/>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40"/>
  <sheetViews>
    <sheetView showGridLines="0" tabSelected="1" zoomScale="60" zoomScaleNormal="65" workbookViewId="0">
      <selection activeCell="N88" sqref="N8:N88"/>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256" s="361" customFormat="1" ht="15.7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256" s="356" customFormat="1" ht="26.25" thickBot="1" x14ac:dyDescent="0.25">
      <c r="A2" s="631" t="s">
        <v>60</v>
      </c>
      <c r="B2" s="632" t="s">
        <v>59</v>
      </c>
      <c r="C2" s="632" t="s">
        <v>58</v>
      </c>
      <c r="D2" s="632" t="s">
        <v>9</v>
      </c>
      <c r="E2" s="632"/>
      <c r="F2" s="633">
        <v>1</v>
      </c>
      <c r="G2" s="633">
        <v>2</v>
      </c>
      <c r="H2" s="633">
        <v>3</v>
      </c>
      <c r="I2" s="633">
        <v>4</v>
      </c>
      <c r="J2" s="633">
        <v>5</v>
      </c>
      <c r="K2" s="633">
        <v>6</v>
      </c>
      <c r="L2" s="633">
        <v>7</v>
      </c>
      <c r="M2" s="633">
        <v>8</v>
      </c>
      <c r="N2" s="633">
        <v>9</v>
      </c>
      <c r="O2" s="633">
        <v>10</v>
      </c>
      <c r="P2" s="633">
        <v>11</v>
      </c>
      <c r="Q2" s="633">
        <v>12</v>
      </c>
      <c r="R2" s="633">
        <v>13</v>
      </c>
      <c r="S2" s="633">
        <v>14</v>
      </c>
      <c r="T2" s="633">
        <v>15</v>
      </c>
      <c r="U2" s="633">
        <v>16</v>
      </c>
      <c r="V2" s="633">
        <v>17</v>
      </c>
      <c r="W2" s="633">
        <v>18</v>
      </c>
      <c r="X2" s="633">
        <v>19</v>
      </c>
      <c r="Y2" s="633">
        <v>20</v>
      </c>
      <c r="Z2" s="633">
        <v>21</v>
      </c>
      <c r="AA2" s="633">
        <v>22</v>
      </c>
      <c r="AB2" s="633">
        <v>23</v>
      </c>
      <c r="AC2" s="634">
        <v>24</v>
      </c>
      <c r="AD2" s="632" t="s">
        <v>21</v>
      </c>
      <c r="AE2" s="635" t="s">
        <v>204</v>
      </c>
      <c r="AF2" s="636" t="s">
        <v>10</v>
      </c>
    </row>
    <row r="3" spans="1:256" s="356" customFormat="1" ht="12.75" customHeight="1" x14ac:dyDescent="0.2">
      <c r="A3" s="637" t="s">
        <v>62</v>
      </c>
      <c r="B3" s="643" t="s">
        <v>61</v>
      </c>
      <c r="C3" s="644" t="s">
        <v>151</v>
      </c>
      <c r="D3" s="644"/>
      <c r="E3" s="640"/>
      <c r="F3" s="693">
        <v>70</v>
      </c>
      <c r="G3" s="693">
        <v>60</v>
      </c>
      <c r="H3" s="693">
        <v>45</v>
      </c>
      <c r="I3" s="693">
        <v>45</v>
      </c>
      <c r="J3" s="693">
        <v>45</v>
      </c>
      <c r="K3" s="693">
        <v>55</v>
      </c>
      <c r="L3" s="693">
        <v>70</v>
      </c>
      <c r="M3" s="736">
        <v>95</v>
      </c>
      <c r="N3" s="736">
        <v>105</v>
      </c>
      <c r="O3" s="736">
        <v>105</v>
      </c>
      <c r="P3" s="736">
        <v>105</v>
      </c>
      <c r="Q3" s="736">
        <v>105</v>
      </c>
      <c r="R3" s="736">
        <v>105</v>
      </c>
      <c r="S3" s="736">
        <v>105</v>
      </c>
      <c r="T3" s="736">
        <v>105</v>
      </c>
      <c r="U3" s="736">
        <v>105</v>
      </c>
      <c r="V3" s="736">
        <v>105</v>
      </c>
      <c r="W3" s="736">
        <v>105</v>
      </c>
      <c r="X3" s="736">
        <v>130</v>
      </c>
      <c r="Y3" s="736">
        <v>130</v>
      </c>
      <c r="Z3" s="736">
        <v>130</v>
      </c>
      <c r="AA3" s="736">
        <v>120</v>
      </c>
      <c r="AB3" s="736">
        <v>120</v>
      </c>
      <c r="AC3" s="736">
        <v>100</v>
      </c>
      <c r="AD3" s="629">
        <f>SUM(F3:AC3)</f>
        <v>2265</v>
      </c>
      <c r="AE3" s="630">
        <f>AD3*D3</f>
        <v>0</v>
      </c>
      <c r="AF3" s="62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256" s="356" customFormat="1" ht="12.75" customHeight="1" x14ac:dyDescent="0.2">
      <c r="A4" s="638" t="s">
        <v>64</v>
      </c>
      <c r="B4" s="645" t="s">
        <v>61</v>
      </c>
      <c r="C4" s="646"/>
      <c r="D4" s="646"/>
      <c r="E4" s="641"/>
      <c r="F4" s="625">
        <v>55</v>
      </c>
      <c r="G4" s="625">
        <v>55</v>
      </c>
      <c r="H4" s="625">
        <v>55</v>
      </c>
      <c r="I4" s="625">
        <v>55</v>
      </c>
      <c r="J4" s="625">
        <v>55</v>
      </c>
      <c r="K4" s="625">
        <v>60</v>
      </c>
      <c r="L4" s="625">
        <v>65</v>
      </c>
      <c r="M4" s="625">
        <v>70</v>
      </c>
      <c r="N4" s="625">
        <v>75</v>
      </c>
      <c r="O4" s="709">
        <v>75</v>
      </c>
      <c r="P4" s="709">
        <v>75</v>
      </c>
      <c r="Q4" s="709">
        <v>75</v>
      </c>
      <c r="R4" s="709">
        <v>75</v>
      </c>
      <c r="S4" s="709">
        <v>75</v>
      </c>
      <c r="T4" s="709">
        <v>70</v>
      </c>
      <c r="U4" s="709">
        <v>70</v>
      </c>
      <c r="V4" s="709">
        <v>70</v>
      </c>
      <c r="W4" s="709">
        <v>75</v>
      </c>
      <c r="X4" s="709">
        <v>75</v>
      </c>
      <c r="Y4" s="709">
        <v>75</v>
      </c>
      <c r="Z4" s="709">
        <v>75</v>
      </c>
      <c r="AA4" s="709">
        <v>75</v>
      </c>
      <c r="AB4" s="709">
        <v>70</v>
      </c>
      <c r="AC4" s="709">
        <v>65</v>
      </c>
      <c r="AD4" s="583">
        <f>SUM(F4:AC4)</f>
        <v>1640</v>
      </c>
      <c r="AE4" s="584">
        <f>AD4*D4</f>
        <v>0</v>
      </c>
      <c r="AF4" s="527" t="str">
        <f>IF(AD4&lt;0,"buy","sell")</f>
        <v>sell</v>
      </c>
    </row>
    <row r="5" spans="1:256" s="356" customFormat="1" x14ac:dyDescent="0.2">
      <c r="A5" s="639" t="s">
        <v>63</v>
      </c>
      <c r="B5" s="647"/>
      <c r="C5" s="647"/>
      <c r="D5" s="647"/>
      <c r="E5" s="642"/>
      <c r="F5" s="625">
        <v>0</v>
      </c>
      <c r="G5" s="625">
        <v>0</v>
      </c>
      <c r="H5" s="625">
        <v>0</v>
      </c>
      <c r="I5" s="625">
        <v>0</v>
      </c>
      <c r="J5" s="625">
        <v>0</v>
      </c>
      <c r="K5" s="625">
        <v>0</v>
      </c>
      <c r="L5" s="625">
        <v>0</v>
      </c>
      <c r="M5" s="709">
        <v>0</v>
      </c>
      <c r="N5" s="709">
        <v>0</v>
      </c>
      <c r="O5" s="709">
        <v>0</v>
      </c>
      <c r="P5" s="709">
        <v>0</v>
      </c>
      <c r="Q5" s="709">
        <v>0</v>
      </c>
      <c r="R5" s="709">
        <v>0</v>
      </c>
      <c r="S5" s="709">
        <v>0</v>
      </c>
      <c r="T5" s="709">
        <v>0</v>
      </c>
      <c r="U5" s="709">
        <v>0</v>
      </c>
      <c r="V5" s="709">
        <v>0</v>
      </c>
      <c r="W5" s="709">
        <v>0</v>
      </c>
      <c r="X5" s="709">
        <v>0</v>
      </c>
      <c r="Y5" s="709">
        <v>0</v>
      </c>
      <c r="Z5" s="709">
        <v>0</v>
      </c>
      <c r="AA5" s="709">
        <v>0</v>
      </c>
      <c r="AB5" s="709">
        <v>0</v>
      </c>
      <c r="AC5" s="709">
        <v>0</v>
      </c>
      <c r="AD5" s="583">
        <f>SUM(F5:AC5)</f>
        <v>0</v>
      </c>
      <c r="AE5" s="584">
        <f>AD5*D5</f>
        <v>0</v>
      </c>
      <c r="AF5" s="527" t="str">
        <f>IF(AD5&lt;0,"buy","sell")</f>
        <v>sell</v>
      </c>
    </row>
    <row r="6" spans="1:256" s="356" customFormat="1" x14ac:dyDescent="0.2">
      <c r="A6" s="639"/>
      <c r="B6" s="647"/>
      <c r="C6" s="647"/>
      <c r="D6" s="647"/>
      <c r="E6" s="642"/>
      <c r="F6" s="625"/>
      <c r="G6" s="625"/>
      <c r="H6" s="625"/>
      <c r="I6" s="625"/>
      <c r="J6" s="625"/>
      <c r="K6" s="625"/>
      <c r="L6" s="625"/>
      <c r="M6" s="709"/>
      <c r="N6" s="709"/>
      <c r="O6" s="709"/>
      <c r="P6" s="709"/>
      <c r="Q6" s="709"/>
      <c r="R6" s="709"/>
      <c r="S6" s="709"/>
      <c r="T6" s="709"/>
      <c r="U6" s="709"/>
      <c r="V6" s="709"/>
      <c r="W6" s="709"/>
      <c r="X6" s="709"/>
      <c r="Y6" s="709"/>
      <c r="Z6" s="709"/>
      <c r="AA6" s="709"/>
      <c r="AB6" s="709"/>
      <c r="AC6" s="709"/>
      <c r="AD6" s="583"/>
      <c r="AE6" s="584"/>
      <c r="AF6" s="527"/>
    </row>
    <row r="7" spans="1:256" s="404" customFormat="1" x14ac:dyDescent="0.2">
      <c r="A7" s="639" t="s">
        <v>3</v>
      </c>
      <c r="B7" s="647"/>
      <c r="C7" s="647" t="s">
        <v>351</v>
      </c>
      <c r="D7" s="647"/>
      <c r="E7" s="669"/>
      <c r="F7" s="709">
        <v>-50</v>
      </c>
      <c r="G7" s="709">
        <v>-50</v>
      </c>
      <c r="H7" s="709">
        <v>-50</v>
      </c>
      <c r="I7" s="709">
        <v>-50</v>
      </c>
      <c r="J7" s="709">
        <v>-50</v>
      </c>
      <c r="K7" s="709">
        <v>-50</v>
      </c>
      <c r="L7" s="709">
        <v>-80</v>
      </c>
      <c r="M7" s="709">
        <v>-80</v>
      </c>
      <c r="N7" s="709">
        <v>-80</v>
      </c>
      <c r="O7" s="709">
        <v>-80</v>
      </c>
      <c r="P7" s="709">
        <v>-80</v>
      </c>
      <c r="Q7" s="709">
        <v>-80</v>
      </c>
      <c r="R7" s="709">
        <v>-80</v>
      </c>
      <c r="S7" s="709">
        <v>-80</v>
      </c>
      <c r="T7" s="709">
        <v>-80</v>
      </c>
      <c r="U7" s="709">
        <v>-80</v>
      </c>
      <c r="V7" s="709">
        <v>-80</v>
      </c>
      <c r="W7" s="709">
        <v>-133</v>
      </c>
      <c r="X7" s="709">
        <v>-133</v>
      </c>
      <c r="Y7" s="709">
        <v>-133</v>
      </c>
      <c r="Z7" s="709">
        <v>-133</v>
      </c>
      <c r="AA7" s="709">
        <v>-133</v>
      </c>
      <c r="AB7" s="709">
        <v>-50</v>
      </c>
      <c r="AC7" s="709">
        <v>-50</v>
      </c>
      <c r="AD7" s="626"/>
      <c r="AE7" s="670"/>
      <c r="AF7" s="671"/>
    </row>
    <row r="8" spans="1:256" s="356" customFormat="1" x14ac:dyDescent="0.2">
      <c r="A8" s="639"/>
      <c r="B8" s="647"/>
      <c r="C8" s="647"/>
      <c r="D8" s="647"/>
      <c r="E8" s="642"/>
      <c r="F8" s="709"/>
      <c r="G8" s="709"/>
      <c r="H8" s="709"/>
      <c r="I8" s="709"/>
      <c r="J8" s="709"/>
      <c r="K8" s="709"/>
      <c r="L8" s="709"/>
      <c r="M8" s="709"/>
      <c r="N8" s="709"/>
      <c r="O8" s="709"/>
      <c r="P8" s="709"/>
      <c r="Q8" s="709"/>
      <c r="R8" s="709"/>
      <c r="S8" s="709"/>
      <c r="T8" s="709"/>
      <c r="U8" s="709"/>
      <c r="V8" s="709"/>
      <c r="W8" s="709"/>
      <c r="X8" s="709"/>
      <c r="Y8" s="709"/>
      <c r="Z8" s="709"/>
      <c r="AA8" s="709"/>
      <c r="AB8" s="709"/>
      <c r="AC8" s="709"/>
      <c r="AD8" s="583">
        <f>SUM(F8:AC8)</f>
        <v>0</v>
      </c>
      <c r="AE8" s="584"/>
      <c r="AF8" s="527"/>
    </row>
    <row r="9" spans="1:256" s="356" customFormat="1" x14ac:dyDescent="0.2">
      <c r="A9" s="639"/>
      <c r="B9" s="647"/>
      <c r="C9" s="690"/>
      <c r="D9" s="647"/>
      <c r="E9" s="669"/>
      <c r="F9" s="735"/>
      <c r="G9" s="735"/>
      <c r="H9" s="735"/>
      <c r="I9" s="735"/>
      <c r="J9" s="735"/>
      <c r="K9" s="735"/>
      <c r="L9" s="735"/>
      <c r="M9" s="735"/>
      <c r="N9" s="735"/>
      <c r="O9" s="735"/>
      <c r="P9" s="735"/>
      <c r="Q9" s="735"/>
      <c r="R9" s="735"/>
      <c r="S9" s="735"/>
      <c r="T9" s="735"/>
      <c r="U9" s="735"/>
      <c r="V9" s="735"/>
      <c r="W9" s="735"/>
      <c r="X9" s="735"/>
      <c r="Y9" s="735"/>
      <c r="Z9" s="735"/>
      <c r="AA9" s="735"/>
      <c r="AB9" s="735"/>
      <c r="AC9" s="735"/>
      <c r="AD9" s="639"/>
      <c r="AE9" s="639"/>
      <c r="AF9" s="639"/>
      <c r="AG9" s="639"/>
      <c r="AH9" s="639"/>
      <c r="AI9" s="639"/>
      <c r="AJ9" s="639"/>
      <c r="AK9" s="639"/>
      <c r="AL9" s="639"/>
      <c r="AM9" s="639"/>
      <c r="AN9" s="639"/>
      <c r="AO9" s="639"/>
      <c r="AP9" s="639"/>
      <c r="AQ9" s="639"/>
      <c r="AR9" s="639"/>
      <c r="AS9" s="639"/>
      <c r="AT9" s="639"/>
      <c r="AU9" s="639"/>
      <c r="AV9" s="639"/>
      <c r="AW9" s="639"/>
      <c r="AX9" s="639"/>
      <c r="AY9" s="639"/>
      <c r="AZ9" s="639"/>
      <c r="BA9" s="639"/>
      <c r="BB9" s="639"/>
      <c r="BC9" s="639"/>
      <c r="BD9" s="639"/>
      <c r="BE9" s="639"/>
      <c r="BF9" s="639"/>
      <c r="BG9" s="639"/>
      <c r="BH9" s="639"/>
      <c r="BI9" s="639"/>
      <c r="BJ9" s="639"/>
      <c r="BK9" s="639"/>
      <c r="BL9" s="639"/>
      <c r="BM9" s="639"/>
      <c r="BN9" s="639"/>
      <c r="BO9" s="639"/>
      <c r="BP9" s="639"/>
      <c r="BQ9" s="639"/>
      <c r="BR9" s="639"/>
      <c r="BS9" s="639"/>
      <c r="BT9" s="639"/>
      <c r="BU9" s="639"/>
      <c r="BV9" s="639"/>
      <c r="BW9" s="639"/>
      <c r="BX9" s="639"/>
      <c r="BY9" s="639"/>
      <c r="BZ9" s="639"/>
      <c r="CA9" s="639"/>
      <c r="CB9" s="639"/>
      <c r="CC9" s="639"/>
      <c r="CD9" s="639"/>
      <c r="CE9" s="639"/>
      <c r="CF9" s="639"/>
      <c r="CG9" s="639"/>
      <c r="CH9" s="639"/>
      <c r="CI9" s="639"/>
      <c r="CJ9" s="639"/>
      <c r="CK9" s="639"/>
      <c r="CL9" s="639"/>
      <c r="CM9" s="639"/>
      <c r="CN9" s="639"/>
      <c r="CO9" s="639"/>
      <c r="CP9" s="639"/>
      <c r="CQ9" s="639"/>
      <c r="CR9" s="639"/>
      <c r="CS9" s="639"/>
      <c r="CT9" s="639"/>
      <c r="CU9" s="639"/>
      <c r="CV9" s="639"/>
      <c r="CW9" s="639"/>
      <c r="CX9" s="639"/>
      <c r="CY9" s="639"/>
      <c r="CZ9" s="639"/>
      <c r="DA9" s="639"/>
      <c r="DB9" s="639"/>
      <c r="DC9" s="639"/>
      <c r="DD9" s="639"/>
      <c r="DE9" s="639"/>
      <c r="DF9" s="639"/>
      <c r="DG9" s="639"/>
      <c r="DH9" s="639"/>
      <c r="DI9" s="639"/>
      <c r="DJ9" s="639"/>
      <c r="DK9" s="639"/>
      <c r="DL9" s="639"/>
      <c r="DM9" s="639"/>
      <c r="DN9" s="639"/>
      <c r="DO9" s="639"/>
      <c r="DP9" s="639"/>
      <c r="DQ9" s="639"/>
      <c r="DR9" s="639"/>
      <c r="DS9" s="639"/>
      <c r="DT9" s="639"/>
      <c r="DU9" s="639"/>
      <c r="DV9" s="639"/>
      <c r="DW9" s="639"/>
      <c r="DX9" s="639"/>
      <c r="DY9" s="639"/>
      <c r="DZ9" s="639"/>
      <c r="EA9" s="639"/>
      <c r="EB9" s="639"/>
      <c r="EC9" s="639"/>
      <c r="ED9" s="639"/>
      <c r="EE9" s="639"/>
      <c r="EF9" s="639"/>
      <c r="EG9" s="639"/>
      <c r="EH9" s="639"/>
      <c r="EI9" s="639"/>
      <c r="EJ9" s="639"/>
      <c r="EK9" s="639"/>
      <c r="EL9" s="639"/>
      <c r="EM9" s="639"/>
      <c r="EN9" s="639"/>
      <c r="EO9" s="639"/>
      <c r="EP9" s="639"/>
      <c r="EQ9" s="639"/>
      <c r="ER9" s="639"/>
      <c r="ES9" s="639"/>
      <c r="ET9" s="639"/>
      <c r="EU9" s="639"/>
      <c r="EV9" s="639"/>
      <c r="EW9" s="639"/>
      <c r="EX9" s="639"/>
      <c r="EY9" s="639"/>
      <c r="EZ9" s="639"/>
      <c r="FA9" s="639"/>
      <c r="FB9" s="639"/>
      <c r="FC9" s="639"/>
      <c r="FD9" s="639"/>
      <c r="FE9" s="639"/>
      <c r="FF9" s="639"/>
      <c r="FG9" s="639"/>
      <c r="FH9" s="639"/>
      <c r="FI9" s="639"/>
      <c r="FJ9" s="639"/>
      <c r="FK9" s="639"/>
      <c r="FL9" s="639"/>
      <c r="FM9" s="639"/>
      <c r="FN9" s="639"/>
      <c r="FO9" s="639"/>
      <c r="FP9" s="639"/>
      <c r="FQ9" s="639"/>
      <c r="FR9" s="639"/>
      <c r="FS9" s="639"/>
      <c r="FT9" s="639"/>
      <c r="FU9" s="639"/>
      <c r="FV9" s="639"/>
      <c r="FW9" s="639"/>
      <c r="FX9" s="639"/>
      <c r="FY9" s="639"/>
      <c r="FZ9" s="639"/>
      <c r="GA9" s="639"/>
      <c r="GB9" s="639"/>
      <c r="GC9" s="639"/>
      <c r="GD9" s="639"/>
      <c r="GE9" s="639"/>
      <c r="GF9" s="639"/>
      <c r="GG9" s="639"/>
      <c r="GH9" s="639"/>
      <c r="GI9" s="639"/>
      <c r="GJ9" s="639"/>
      <c r="GK9" s="639"/>
      <c r="GL9" s="639"/>
      <c r="GM9" s="639"/>
      <c r="GN9" s="639"/>
      <c r="GO9" s="639"/>
      <c r="GP9" s="639"/>
      <c r="GQ9" s="639"/>
      <c r="GR9" s="639"/>
      <c r="GS9" s="639"/>
      <c r="GT9" s="639"/>
      <c r="GU9" s="639"/>
      <c r="GV9" s="639"/>
      <c r="GW9" s="639"/>
      <c r="GX9" s="639"/>
      <c r="GY9" s="639"/>
      <c r="GZ9" s="639"/>
      <c r="HA9" s="639"/>
      <c r="HB9" s="639"/>
      <c r="HC9" s="639"/>
      <c r="HD9" s="639"/>
      <c r="HE9" s="639"/>
      <c r="HF9" s="639"/>
      <c r="HG9" s="639"/>
      <c r="HH9" s="639"/>
      <c r="HI9" s="639"/>
      <c r="HJ9" s="639"/>
      <c r="HK9" s="639"/>
      <c r="HL9" s="639"/>
      <c r="HM9" s="639"/>
      <c r="HN9" s="639"/>
      <c r="HO9" s="639"/>
      <c r="HP9" s="639"/>
      <c r="HQ9" s="639"/>
      <c r="HR9" s="639"/>
      <c r="HS9" s="639"/>
      <c r="HT9" s="639"/>
      <c r="HU9" s="639"/>
      <c r="HV9" s="639"/>
      <c r="HW9" s="639"/>
      <c r="HX9" s="639"/>
      <c r="HY9" s="639"/>
      <c r="HZ9" s="639"/>
      <c r="IA9" s="639"/>
      <c r="IB9" s="639"/>
      <c r="IC9" s="639"/>
      <c r="ID9" s="639"/>
      <c r="IE9" s="639"/>
      <c r="IF9" s="639"/>
      <c r="IG9" s="639"/>
      <c r="IH9" s="639"/>
      <c r="II9" s="639"/>
      <c r="IJ9" s="639"/>
      <c r="IK9" s="639"/>
      <c r="IL9" s="639"/>
      <c r="IM9" s="639"/>
      <c r="IN9" s="639"/>
      <c r="IO9" s="639"/>
      <c r="IP9" s="639"/>
      <c r="IQ9" s="639"/>
      <c r="IR9" s="639"/>
      <c r="IS9" s="639"/>
      <c r="IT9" s="639"/>
      <c r="IU9" s="639"/>
      <c r="IV9" s="639"/>
    </row>
    <row r="10" spans="1:256" s="404" customFormat="1" x14ac:dyDescent="0.2">
      <c r="A10" s="639"/>
      <c r="B10" s="647"/>
      <c r="C10" s="690"/>
      <c r="D10" s="647"/>
      <c r="E10" s="669"/>
      <c r="F10" s="709"/>
      <c r="G10" s="709"/>
      <c r="H10" s="709"/>
      <c r="I10" s="709"/>
      <c r="J10" s="709"/>
      <c r="K10" s="709"/>
      <c r="L10" s="709"/>
      <c r="M10" s="709"/>
      <c r="N10" s="709"/>
      <c r="O10" s="709"/>
      <c r="P10" s="709"/>
      <c r="Q10" s="709"/>
      <c r="R10" s="709"/>
      <c r="S10" s="709"/>
      <c r="T10" s="709"/>
      <c r="U10" s="709"/>
      <c r="V10" s="709"/>
      <c r="W10" s="709"/>
      <c r="X10" s="709"/>
      <c r="Y10" s="709"/>
      <c r="Z10" s="709"/>
      <c r="AA10" s="709"/>
      <c r="AB10" s="709"/>
      <c r="AC10" s="709"/>
      <c r="AD10" s="583">
        <f>SUM(E10:AC10)</f>
        <v>0</v>
      </c>
      <c r="AE10" s="675">
        <f>AD10*D10</f>
        <v>0</v>
      </c>
      <c r="AF10" s="676" t="str">
        <f>IF(AD10&lt;0,"buy","sell")</f>
        <v>sell</v>
      </c>
    </row>
    <row r="11" spans="1:256" s="404" customFormat="1" x14ac:dyDescent="0.2">
      <c r="A11" s="639"/>
      <c r="B11" s="647"/>
      <c r="C11" s="690"/>
      <c r="D11" s="647"/>
      <c r="E11" s="669"/>
      <c r="F11" s="709"/>
      <c r="G11" s="709"/>
      <c r="H11" s="709"/>
      <c r="I11" s="709"/>
      <c r="J11" s="709"/>
      <c r="K11" s="709"/>
      <c r="L11" s="709"/>
      <c r="M11" s="709"/>
      <c r="N11" s="625"/>
      <c r="O11" s="625"/>
      <c r="P11" s="625"/>
      <c r="Q11" s="625"/>
      <c r="R11" s="625"/>
      <c r="S11" s="709"/>
      <c r="T11" s="625"/>
      <c r="U11" s="625"/>
      <c r="V11" s="625"/>
      <c r="W11" s="625"/>
      <c r="X11" s="625"/>
      <c r="Y11" s="625"/>
      <c r="Z11" s="625"/>
      <c r="AA11" s="625"/>
      <c r="AB11" s="625"/>
      <c r="AC11" s="625"/>
      <c r="AD11" s="583">
        <f>SUM(E11:AC11)</f>
        <v>0</v>
      </c>
      <c r="AE11" s="675">
        <f>AD11*D11</f>
        <v>0</v>
      </c>
      <c r="AF11" s="676" t="str">
        <f>IF(AD11&lt;0,"buy","sell")</f>
        <v>sell</v>
      </c>
    </row>
    <row r="12" spans="1:256" s="404" customFormat="1" x14ac:dyDescent="0.2">
      <c r="A12" s="639"/>
      <c r="B12" s="647"/>
      <c r="C12" s="690"/>
      <c r="D12" s="647"/>
      <c r="E12" s="669"/>
      <c r="F12" s="625"/>
      <c r="G12" s="625"/>
      <c r="H12" s="625"/>
      <c r="I12" s="625"/>
      <c r="J12" s="625"/>
      <c r="K12" s="625"/>
      <c r="L12" s="625"/>
      <c r="M12" s="709"/>
      <c r="N12" s="625"/>
      <c r="O12" s="625"/>
      <c r="P12" s="625"/>
      <c r="Q12" s="625"/>
      <c r="R12" s="625"/>
      <c r="S12" s="709"/>
      <c r="T12" s="625"/>
      <c r="U12" s="625"/>
      <c r="V12" s="625"/>
      <c r="W12" s="625"/>
      <c r="X12" s="625"/>
      <c r="Y12" s="625"/>
      <c r="Z12" s="625"/>
      <c r="AA12" s="625"/>
      <c r="AB12" s="625"/>
      <c r="AC12" s="625"/>
      <c r="AD12" s="583">
        <f>SUM(E12:AC12)</f>
        <v>0</v>
      </c>
      <c r="AE12" s="675">
        <f>AD12*D12</f>
        <v>0</v>
      </c>
      <c r="AF12" s="676" t="str">
        <f>IF(AD12&lt;0,"buy","sell")</f>
        <v>sell</v>
      </c>
    </row>
    <row r="13" spans="1:256" s="356" customFormat="1" ht="11.25" customHeight="1" x14ac:dyDescent="0.2">
      <c r="A13" s="639"/>
      <c r="B13" s="647"/>
      <c r="C13" s="647"/>
      <c r="D13" s="647"/>
      <c r="E13" s="642"/>
      <c r="F13" s="625"/>
      <c r="G13" s="625"/>
      <c r="H13" s="625"/>
      <c r="I13" s="625"/>
      <c r="J13" s="625"/>
      <c r="K13" s="625"/>
      <c r="L13" s="625"/>
      <c r="M13" s="709"/>
      <c r="N13" s="625"/>
      <c r="O13" s="625"/>
      <c r="P13" s="625"/>
      <c r="Q13" s="625"/>
      <c r="R13" s="625"/>
      <c r="S13" s="709"/>
      <c r="T13" s="625"/>
      <c r="U13" s="625"/>
      <c r="V13" s="625"/>
      <c r="W13" s="625"/>
      <c r="X13" s="625"/>
      <c r="Y13" s="625"/>
      <c r="Z13" s="625"/>
      <c r="AA13" s="625"/>
      <c r="AB13" s="625"/>
      <c r="AC13" s="625"/>
      <c r="AD13" s="583">
        <f>SUM(E13:AC13)</f>
        <v>0</v>
      </c>
      <c r="AE13" s="675"/>
      <c r="AF13" s="676"/>
    </row>
    <row r="14" spans="1:256" s="356" customFormat="1" x14ac:dyDescent="0.2">
      <c r="A14" s="648" t="s">
        <v>205</v>
      </c>
      <c r="B14" s="672"/>
      <c r="C14" s="672"/>
      <c r="D14" s="673"/>
      <c r="E14" s="649"/>
      <c r="F14" s="651"/>
      <c r="G14" s="651"/>
      <c r="H14" s="651"/>
      <c r="I14" s="651"/>
      <c r="J14" s="651"/>
      <c r="K14" s="651"/>
      <c r="L14" s="651"/>
      <c r="M14" s="651"/>
      <c r="N14" s="651"/>
      <c r="O14" s="651"/>
      <c r="P14" s="651"/>
      <c r="Q14" s="651"/>
      <c r="R14" s="651"/>
      <c r="S14" s="738"/>
      <c r="T14" s="651"/>
      <c r="U14" s="651"/>
      <c r="V14" s="651"/>
      <c r="W14" s="651"/>
      <c r="X14" s="651"/>
      <c r="Y14" s="651"/>
      <c r="Z14" s="651"/>
      <c r="AA14" s="651"/>
      <c r="AB14" s="651"/>
      <c r="AC14" s="651"/>
      <c r="AD14" s="627"/>
      <c r="AE14" s="677"/>
      <c r="AF14" s="678"/>
    </row>
    <row r="15" spans="1:256" s="356" customFormat="1" x14ac:dyDescent="0.2">
      <c r="A15" s="601" t="s">
        <v>206</v>
      </c>
      <c r="B15" s="674"/>
      <c r="C15" s="598"/>
      <c r="D15" s="674"/>
      <c r="E15" s="363"/>
      <c r="F15" s="652"/>
      <c r="G15" s="652"/>
      <c r="H15" s="652"/>
      <c r="I15" s="652"/>
      <c r="J15" s="652"/>
      <c r="K15" s="652"/>
      <c r="L15" s="652"/>
      <c r="M15" s="652"/>
      <c r="N15" s="652"/>
      <c r="O15" s="652"/>
      <c r="P15" s="652"/>
      <c r="Q15" s="652"/>
      <c r="R15" s="652"/>
      <c r="S15" s="739"/>
      <c r="T15" s="652"/>
      <c r="U15" s="652"/>
      <c r="V15" s="652"/>
      <c r="W15" s="652"/>
      <c r="X15" s="652"/>
      <c r="Y15" s="652"/>
      <c r="Z15" s="652"/>
      <c r="AA15" s="652"/>
      <c r="AB15" s="652"/>
      <c r="AC15" s="652"/>
      <c r="AD15" s="674"/>
      <c r="AE15" s="679"/>
      <c r="AF15" s="679"/>
    </row>
    <row r="16" spans="1:256" s="356" customFormat="1" ht="15.75" x14ac:dyDescent="0.25">
      <c r="A16" s="715" t="s">
        <v>361</v>
      </c>
      <c r="B16" s="674"/>
      <c r="C16" s="598"/>
      <c r="D16" s="674"/>
      <c r="E16" s="363"/>
      <c r="F16" s="652"/>
      <c r="G16" s="652"/>
      <c r="H16" s="652"/>
      <c r="I16" s="652"/>
      <c r="J16" s="652"/>
      <c r="K16" s="652"/>
      <c r="L16" s="652"/>
      <c r="M16" s="652"/>
      <c r="N16" s="652"/>
      <c r="O16" s="652"/>
      <c r="P16" s="652"/>
      <c r="Q16" s="652"/>
      <c r="R16" s="652"/>
      <c r="S16" s="739"/>
      <c r="T16" s="652"/>
      <c r="U16" s="652"/>
      <c r="V16" s="652"/>
      <c r="W16" s="652"/>
      <c r="X16" s="652"/>
      <c r="Y16" s="652"/>
      <c r="Z16" s="652"/>
      <c r="AA16" s="652"/>
      <c r="AB16" s="652"/>
      <c r="AC16" s="652"/>
      <c r="AD16" s="674"/>
      <c r="AE16" s="679"/>
      <c r="AF16" s="679"/>
    </row>
    <row r="17" spans="1:32" s="356" customFormat="1" hidden="1" x14ac:dyDescent="0.2">
      <c r="A17" s="602" t="s">
        <v>267</v>
      </c>
      <c r="B17" s="471" t="s">
        <v>240</v>
      </c>
      <c r="C17" s="471" t="s">
        <v>151</v>
      </c>
      <c r="D17" s="472">
        <f>F114</f>
        <v>0</v>
      </c>
      <c r="E17" s="472"/>
      <c r="F17" s="475">
        <v>0</v>
      </c>
      <c r="G17" s="653"/>
      <c r="H17" s="475"/>
      <c r="I17" s="475"/>
      <c r="J17" s="475"/>
      <c r="K17" s="475"/>
      <c r="L17" s="475"/>
      <c r="M17" s="475"/>
      <c r="N17" s="475"/>
      <c r="O17" s="475"/>
      <c r="P17" s="475"/>
      <c r="Q17" s="475"/>
      <c r="R17" s="475"/>
      <c r="S17" s="740"/>
      <c r="T17" s="475"/>
      <c r="U17" s="475"/>
      <c r="V17" s="475"/>
      <c r="W17" s="475"/>
      <c r="X17" s="475"/>
      <c r="Y17" s="475"/>
      <c r="Z17" s="475"/>
      <c r="AA17" s="475"/>
      <c r="AB17" s="475"/>
      <c r="AC17" s="654"/>
      <c r="AD17" s="578">
        <f t="shared" ref="AD17:AD65" si="0">SUM(F17:AC17)</f>
        <v>0</v>
      </c>
      <c r="AE17" s="680">
        <f t="shared" ref="AE17:AE76" si="1">AD17*D17</f>
        <v>0</v>
      </c>
      <c r="AF17" s="681" t="str">
        <f>IF(AD17&lt;0,"buy","sell")</f>
        <v>sell</v>
      </c>
    </row>
    <row r="18" spans="1:32" s="356" customFormat="1" hidden="1" x14ac:dyDescent="0.2">
      <c r="A18" s="602" t="s">
        <v>267</v>
      </c>
      <c r="B18" s="471" t="s">
        <v>240</v>
      </c>
      <c r="C18" s="471" t="s">
        <v>151</v>
      </c>
      <c r="D18" s="472">
        <f>F115</f>
        <v>0</v>
      </c>
      <c r="E18" s="472"/>
      <c r="F18" s="475"/>
      <c r="G18" s="475"/>
      <c r="H18" s="475"/>
      <c r="I18" s="475"/>
      <c r="J18" s="475"/>
      <c r="K18" s="475"/>
      <c r="L18" s="475"/>
      <c r="M18" s="475"/>
      <c r="N18" s="475"/>
      <c r="O18" s="475"/>
      <c r="P18" s="475"/>
      <c r="Q18" s="475"/>
      <c r="R18" s="475"/>
      <c r="S18" s="740"/>
      <c r="T18" s="475"/>
      <c r="U18" s="475"/>
      <c r="V18" s="475"/>
      <c r="W18" s="475"/>
      <c r="X18" s="475"/>
      <c r="Y18" s="475"/>
      <c r="Z18" s="475"/>
      <c r="AA18" s="475"/>
      <c r="AB18" s="654"/>
      <c r="AC18" s="654"/>
      <c r="AD18" s="578">
        <f t="shared" si="0"/>
        <v>0</v>
      </c>
      <c r="AE18" s="680">
        <f t="shared" si="1"/>
        <v>0</v>
      </c>
      <c r="AF18" s="681" t="str">
        <f t="shared" ref="AF18:AF40" si="2">IF(AD18&lt;0,"buy","sell")</f>
        <v>sell</v>
      </c>
    </row>
    <row r="19" spans="1:32" s="356" customFormat="1" hidden="1" x14ac:dyDescent="0.2">
      <c r="A19" s="602" t="s">
        <v>267</v>
      </c>
      <c r="B19" s="471" t="s">
        <v>240</v>
      </c>
      <c r="C19" s="471" t="s">
        <v>151</v>
      </c>
      <c r="D19" s="472">
        <f>F116</f>
        <v>0</v>
      </c>
      <c r="E19" s="472"/>
      <c r="F19" s="475"/>
      <c r="G19" s="653"/>
      <c r="H19" s="475"/>
      <c r="I19" s="475"/>
      <c r="J19" s="475"/>
      <c r="K19" s="475"/>
      <c r="L19" s="475"/>
      <c r="M19" s="475"/>
      <c r="N19" s="475"/>
      <c r="O19" s="475"/>
      <c r="P19" s="475"/>
      <c r="Q19" s="475"/>
      <c r="R19" s="475"/>
      <c r="S19" s="740"/>
      <c r="T19" s="475"/>
      <c r="U19" s="475"/>
      <c r="V19" s="475"/>
      <c r="W19" s="475"/>
      <c r="X19" s="475"/>
      <c r="Y19" s="475"/>
      <c r="Z19" s="475"/>
      <c r="AA19" s="475"/>
      <c r="AB19" s="475"/>
      <c r="AC19" s="654"/>
      <c r="AD19" s="578">
        <f t="shared" si="0"/>
        <v>0</v>
      </c>
      <c r="AE19" s="680">
        <f t="shared" si="1"/>
        <v>0</v>
      </c>
      <c r="AF19" s="681" t="str">
        <f t="shared" si="2"/>
        <v>sell</v>
      </c>
    </row>
    <row r="20" spans="1:32" s="356" customFormat="1" hidden="1" x14ac:dyDescent="0.2">
      <c r="A20" s="602" t="s">
        <v>267</v>
      </c>
      <c r="B20" s="471" t="s">
        <v>240</v>
      </c>
      <c r="C20" s="471" t="s">
        <v>151</v>
      </c>
      <c r="D20" s="472">
        <f>F117</f>
        <v>0</v>
      </c>
      <c r="E20" s="472"/>
      <c r="F20" s="475"/>
      <c r="G20" s="653"/>
      <c r="H20" s="475"/>
      <c r="I20" s="475"/>
      <c r="J20" s="475"/>
      <c r="K20" s="475"/>
      <c r="L20" s="475"/>
      <c r="M20" s="475"/>
      <c r="N20" s="475"/>
      <c r="O20" s="475"/>
      <c r="P20" s="475"/>
      <c r="Q20" s="475"/>
      <c r="R20" s="475"/>
      <c r="S20" s="740"/>
      <c r="T20" s="475"/>
      <c r="U20" s="475"/>
      <c r="V20" s="475"/>
      <c r="W20" s="475"/>
      <c r="X20" s="475"/>
      <c r="Y20" s="475"/>
      <c r="Z20" s="475"/>
      <c r="AA20" s="475"/>
      <c r="AB20" s="475"/>
      <c r="AC20" s="654"/>
      <c r="AD20" s="578">
        <f t="shared" si="0"/>
        <v>0</v>
      </c>
      <c r="AE20" s="680">
        <f t="shared" si="1"/>
        <v>0</v>
      </c>
      <c r="AF20" s="681" t="str">
        <f t="shared" si="2"/>
        <v>sell</v>
      </c>
    </row>
    <row r="21" spans="1:32" s="356" customFormat="1" hidden="1" x14ac:dyDescent="0.2">
      <c r="A21" s="602" t="s">
        <v>267</v>
      </c>
      <c r="B21" s="471" t="s">
        <v>240</v>
      </c>
      <c r="C21" s="471" t="s">
        <v>151</v>
      </c>
      <c r="D21" s="472">
        <f t="shared" ref="D21:D40" si="3">F118</f>
        <v>0</v>
      </c>
      <c r="E21" s="472"/>
      <c r="F21" s="475"/>
      <c r="G21" s="653"/>
      <c r="H21" s="475"/>
      <c r="I21" s="475"/>
      <c r="J21" s="475"/>
      <c r="K21" s="475"/>
      <c r="L21" s="475"/>
      <c r="M21" s="475"/>
      <c r="N21" s="475"/>
      <c r="O21" s="475"/>
      <c r="P21" s="475"/>
      <c r="Q21" s="475"/>
      <c r="R21" s="475"/>
      <c r="S21" s="740"/>
      <c r="T21" s="475"/>
      <c r="U21" s="475"/>
      <c r="V21" s="475"/>
      <c r="W21" s="475"/>
      <c r="X21" s="475"/>
      <c r="Y21" s="475"/>
      <c r="Z21" s="475"/>
      <c r="AA21" s="475"/>
      <c r="AB21" s="475"/>
      <c r="AC21" s="654"/>
      <c r="AD21" s="578">
        <f t="shared" si="0"/>
        <v>0</v>
      </c>
      <c r="AE21" s="680">
        <f t="shared" si="1"/>
        <v>0</v>
      </c>
      <c r="AF21" s="681" t="str">
        <f>IF(AD21&lt;0,"buy","sell")</f>
        <v>sell</v>
      </c>
    </row>
    <row r="22" spans="1:32" s="356" customFormat="1" hidden="1" x14ac:dyDescent="0.2">
      <c r="A22" s="602" t="s">
        <v>267</v>
      </c>
      <c r="B22" s="471" t="s">
        <v>240</v>
      </c>
      <c r="C22" s="471" t="s">
        <v>151</v>
      </c>
      <c r="D22" s="472">
        <f t="shared" si="3"/>
        <v>0</v>
      </c>
      <c r="E22" s="472"/>
      <c r="F22" s="475"/>
      <c r="G22" s="653"/>
      <c r="H22" s="475"/>
      <c r="I22" s="475"/>
      <c r="J22" s="475"/>
      <c r="K22" s="475"/>
      <c r="L22" s="475"/>
      <c r="M22" s="475"/>
      <c r="N22" s="475"/>
      <c r="O22" s="475"/>
      <c r="P22" s="475"/>
      <c r="Q22" s="475"/>
      <c r="R22" s="475"/>
      <c r="S22" s="740"/>
      <c r="T22" s="475"/>
      <c r="U22" s="475"/>
      <c r="V22" s="475"/>
      <c r="W22" s="475"/>
      <c r="X22" s="475"/>
      <c r="Y22" s="475"/>
      <c r="Z22" s="475"/>
      <c r="AA22" s="475"/>
      <c r="AB22" s="475"/>
      <c r="AC22" s="475"/>
      <c r="AD22" s="578">
        <f t="shared" si="0"/>
        <v>0</v>
      </c>
      <c r="AE22" s="680">
        <f t="shared" si="1"/>
        <v>0</v>
      </c>
      <c r="AF22" s="681" t="str">
        <f t="shared" si="2"/>
        <v>sell</v>
      </c>
    </row>
    <row r="23" spans="1:32" s="356" customFormat="1" hidden="1" x14ac:dyDescent="0.2">
      <c r="A23" s="602" t="s">
        <v>267</v>
      </c>
      <c r="B23" s="471" t="s">
        <v>240</v>
      </c>
      <c r="C23" s="471" t="s">
        <v>151</v>
      </c>
      <c r="D23" s="472">
        <f t="shared" si="3"/>
        <v>0</v>
      </c>
      <c r="E23" s="472"/>
      <c r="F23" s="475"/>
      <c r="G23" s="653"/>
      <c r="H23" s="475"/>
      <c r="I23" s="475"/>
      <c r="J23" s="475"/>
      <c r="K23" s="475"/>
      <c r="L23" s="475"/>
      <c r="M23" s="475"/>
      <c r="N23" s="475"/>
      <c r="O23" s="475"/>
      <c r="P23" s="475"/>
      <c r="Q23" s="475"/>
      <c r="R23" s="475"/>
      <c r="S23" s="740"/>
      <c r="T23" s="475"/>
      <c r="U23" s="475"/>
      <c r="V23" s="475"/>
      <c r="W23" s="475"/>
      <c r="X23" s="475"/>
      <c r="Y23" s="475"/>
      <c r="Z23" s="475"/>
      <c r="AA23" s="475"/>
      <c r="AB23" s="475"/>
      <c r="AC23" s="475"/>
      <c r="AD23" s="578">
        <f t="shared" si="0"/>
        <v>0</v>
      </c>
      <c r="AE23" s="680">
        <f t="shared" si="1"/>
        <v>0</v>
      </c>
      <c r="AF23" s="681" t="str">
        <f t="shared" si="2"/>
        <v>sell</v>
      </c>
    </row>
    <row r="24" spans="1:32" s="356" customFormat="1" hidden="1" x14ac:dyDescent="0.2">
      <c r="A24" s="602" t="s">
        <v>267</v>
      </c>
      <c r="B24" s="471" t="s">
        <v>240</v>
      </c>
      <c r="C24" s="471" t="s">
        <v>151</v>
      </c>
      <c r="D24" s="472">
        <f t="shared" si="3"/>
        <v>0</v>
      </c>
      <c r="E24" s="472"/>
      <c r="F24" s="475"/>
      <c r="G24" s="653"/>
      <c r="H24" s="475"/>
      <c r="I24" s="475"/>
      <c r="J24" s="475"/>
      <c r="K24" s="475"/>
      <c r="L24" s="475"/>
      <c r="M24" s="475"/>
      <c r="N24" s="475"/>
      <c r="O24" s="475"/>
      <c r="P24" s="475"/>
      <c r="Q24" s="475"/>
      <c r="R24" s="475"/>
      <c r="S24" s="740"/>
      <c r="T24" s="475"/>
      <c r="U24" s="475"/>
      <c r="V24" s="475"/>
      <c r="W24" s="475"/>
      <c r="X24" s="475"/>
      <c r="Y24" s="475"/>
      <c r="Z24" s="475"/>
      <c r="AA24" s="475"/>
      <c r="AB24" s="475"/>
      <c r="AC24" s="475"/>
      <c r="AD24" s="578">
        <f t="shared" si="0"/>
        <v>0</v>
      </c>
      <c r="AE24" s="680">
        <f t="shared" si="1"/>
        <v>0</v>
      </c>
      <c r="AF24" s="681" t="str">
        <f t="shared" si="2"/>
        <v>sell</v>
      </c>
    </row>
    <row r="25" spans="1:32" s="356" customFormat="1" hidden="1" x14ac:dyDescent="0.2">
      <c r="A25" s="602" t="s">
        <v>267</v>
      </c>
      <c r="B25" s="471" t="s">
        <v>240</v>
      </c>
      <c r="C25" s="471" t="s">
        <v>151</v>
      </c>
      <c r="D25" s="472">
        <f t="shared" si="3"/>
        <v>0</v>
      </c>
      <c r="E25" s="472"/>
      <c r="F25" s="475"/>
      <c r="G25" s="653"/>
      <c r="H25" s="475"/>
      <c r="I25" s="475"/>
      <c r="J25" s="475"/>
      <c r="K25" s="475"/>
      <c r="L25" s="475"/>
      <c r="M25" s="475"/>
      <c r="N25" s="475"/>
      <c r="O25" s="475"/>
      <c r="P25" s="475"/>
      <c r="Q25" s="475"/>
      <c r="R25" s="475"/>
      <c r="S25" s="740"/>
      <c r="T25" s="475"/>
      <c r="U25" s="475"/>
      <c r="V25" s="475"/>
      <c r="W25" s="475"/>
      <c r="X25" s="475"/>
      <c r="Y25" s="475"/>
      <c r="Z25" s="475"/>
      <c r="AA25" s="475"/>
      <c r="AB25" s="475"/>
      <c r="AC25" s="475"/>
      <c r="AD25" s="578">
        <f t="shared" si="0"/>
        <v>0</v>
      </c>
      <c r="AE25" s="680">
        <f t="shared" si="1"/>
        <v>0</v>
      </c>
      <c r="AF25" s="681" t="str">
        <f t="shared" si="2"/>
        <v>sell</v>
      </c>
    </row>
    <row r="26" spans="1:32" s="356" customFormat="1" hidden="1" x14ac:dyDescent="0.2">
      <c r="A26" s="602" t="s">
        <v>267</v>
      </c>
      <c r="B26" s="471" t="s">
        <v>240</v>
      </c>
      <c r="C26" s="471" t="s">
        <v>151</v>
      </c>
      <c r="D26" s="472">
        <f t="shared" si="3"/>
        <v>0</v>
      </c>
      <c r="E26" s="472"/>
      <c r="F26" s="475"/>
      <c r="G26" s="653"/>
      <c r="H26" s="475"/>
      <c r="I26" s="475"/>
      <c r="J26" s="475"/>
      <c r="K26" s="475"/>
      <c r="L26" s="475"/>
      <c r="M26" s="475"/>
      <c r="N26" s="475"/>
      <c r="O26" s="475"/>
      <c r="P26" s="475"/>
      <c r="Q26" s="475"/>
      <c r="R26" s="475"/>
      <c r="S26" s="740"/>
      <c r="T26" s="475"/>
      <c r="U26" s="475"/>
      <c r="V26" s="475"/>
      <c r="W26" s="475"/>
      <c r="X26" s="475"/>
      <c r="Y26" s="475"/>
      <c r="Z26" s="475"/>
      <c r="AA26" s="475"/>
      <c r="AB26" s="475"/>
      <c r="AC26" s="475"/>
      <c r="AD26" s="578">
        <f t="shared" si="0"/>
        <v>0</v>
      </c>
      <c r="AE26" s="680">
        <f t="shared" si="1"/>
        <v>0</v>
      </c>
      <c r="AF26" s="681" t="str">
        <f t="shared" si="2"/>
        <v>sell</v>
      </c>
    </row>
    <row r="27" spans="1:32" s="356" customFormat="1" hidden="1" x14ac:dyDescent="0.2">
      <c r="A27" s="602" t="s">
        <v>267</v>
      </c>
      <c r="B27" s="471" t="s">
        <v>240</v>
      </c>
      <c r="C27" s="471" t="s">
        <v>151</v>
      </c>
      <c r="D27" s="472">
        <f t="shared" si="3"/>
        <v>0</v>
      </c>
      <c r="E27" s="472"/>
      <c r="F27" s="475"/>
      <c r="G27" s="653"/>
      <c r="H27" s="475"/>
      <c r="I27" s="475"/>
      <c r="J27" s="475"/>
      <c r="K27" s="475"/>
      <c r="L27" s="475"/>
      <c r="M27" s="475"/>
      <c r="N27" s="475"/>
      <c r="O27" s="475"/>
      <c r="P27" s="475"/>
      <c r="Q27" s="475"/>
      <c r="R27" s="475"/>
      <c r="S27" s="740"/>
      <c r="T27" s="475"/>
      <c r="U27" s="475"/>
      <c r="V27" s="475"/>
      <c r="W27" s="475"/>
      <c r="X27" s="475"/>
      <c r="Y27" s="475"/>
      <c r="Z27" s="475"/>
      <c r="AA27" s="475"/>
      <c r="AB27" s="475"/>
      <c r="AC27" s="475"/>
      <c r="AD27" s="578">
        <f t="shared" si="0"/>
        <v>0</v>
      </c>
      <c r="AE27" s="680">
        <f t="shared" si="1"/>
        <v>0</v>
      </c>
      <c r="AF27" s="681" t="str">
        <f t="shared" si="2"/>
        <v>sell</v>
      </c>
    </row>
    <row r="28" spans="1:32" s="356" customFormat="1" hidden="1" x14ac:dyDescent="0.2">
      <c r="A28" s="602" t="s">
        <v>267</v>
      </c>
      <c r="B28" s="471" t="s">
        <v>240</v>
      </c>
      <c r="C28" s="471" t="s">
        <v>151</v>
      </c>
      <c r="D28" s="472">
        <f t="shared" si="3"/>
        <v>0</v>
      </c>
      <c r="E28" s="472"/>
      <c r="F28" s="475"/>
      <c r="G28" s="653"/>
      <c r="H28" s="475"/>
      <c r="I28" s="475"/>
      <c r="J28" s="475"/>
      <c r="K28" s="475"/>
      <c r="L28" s="475"/>
      <c r="M28" s="475"/>
      <c r="N28" s="475"/>
      <c r="O28" s="475"/>
      <c r="P28" s="475"/>
      <c r="Q28" s="475"/>
      <c r="R28" s="475"/>
      <c r="S28" s="740"/>
      <c r="T28" s="475"/>
      <c r="U28" s="475"/>
      <c r="V28" s="475"/>
      <c r="W28" s="475"/>
      <c r="X28" s="475"/>
      <c r="Y28" s="475"/>
      <c r="Z28" s="475"/>
      <c r="AA28" s="475"/>
      <c r="AB28" s="475"/>
      <c r="AC28" s="475"/>
      <c r="AD28" s="578">
        <f t="shared" si="0"/>
        <v>0</v>
      </c>
      <c r="AE28" s="680">
        <f t="shared" si="1"/>
        <v>0</v>
      </c>
      <c r="AF28" s="681" t="str">
        <f t="shared" si="2"/>
        <v>sell</v>
      </c>
    </row>
    <row r="29" spans="1:32" s="356" customFormat="1" hidden="1" x14ac:dyDescent="0.2">
      <c r="A29" s="602" t="s">
        <v>267</v>
      </c>
      <c r="B29" s="471" t="s">
        <v>240</v>
      </c>
      <c r="C29" s="471" t="s">
        <v>151</v>
      </c>
      <c r="D29" s="472">
        <f t="shared" si="3"/>
        <v>0</v>
      </c>
      <c r="E29" s="472"/>
      <c r="F29" s="475"/>
      <c r="G29" s="653"/>
      <c r="H29" s="475"/>
      <c r="I29" s="475"/>
      <c r="J29" s="475"/>
      <c r="K29" s="475"/>
      <c r="L29" s="475"/>
      <c r="M29" s="475"/>
      <c r="N29" s="475"/>
      <c r="O29" s="475"/>
      <c r="P29" s="475"/>
      <c r="Q29" s="475"/>
      <c r="R29" s="475"/>
      <c r="S29" s="740"/>
      <c r="T29" s="475"/>
      <c r="U29" s="475"/>
      <c r="V29" s="475"/>
      <c r="W29" s="475"/>
      <c r="X29" s="475"/>
      <c r="Y29" s="475"/>
      <c r="Z29" s="475"/>
      <c r="AA29" s="475"/>
      <c r="AB29" s="475"/>
      <c r="AC29" s="475"/>
      <c r="AD29" s="578">
        <f t="shared" si="0"/>
        <v>0</v>
      </c>
      <c r="AE29" s="680">
        <f t="shared" si="1"/>
        <v>0</v>
      </c>
      <c r="AF29" s="681" t="str">
        <f t="shared" si="2"/>
        <v>sell</v>
      </c>
    </row>
    <row r="30" spans="1:32" s="356" customFormat="1" hidden="1" x14ac:dyDescent="0.2">
      <c r="A30" s="602" t="s">
        <v>267</v>
      </c>
      <c r="B30" s="471" t="s">
        <v>240</v>
      </c>
      <c r="C30" s="471" t="s">
        <v>151</v>
      </c>
      <c r="D30" s="472">
        <f t="shared" si="3"/>
        <v>0</v>
      </c>
      <c r="E30" s="472"/>
      <c r="F30" s="475"/>
      <c r="G30" s="653"/>
      <c r="H30" s="475"/>
      <c r="I30" s="475"/>
      <c r="J30" s="475"/>
      <c r="K30" s="475"/>
      <c r="L30" s="475"/>
      <c r="M30" s="475"/>
      <c r="N30" s="475"/>
      <c r="O30" s="475"/>
      <c r="P30" s="475"/>
      <c r="Q30" s="475"/>
      <c r="R30" s="475"/>
      <c r="S30" s="740"/>
      <c r="T30" s="475"/>
      <c r="U30" s="475"/>
      <c r="V30" s="475"/>
      <c r="W30" s="475"/>
      <c r="X30" s="475"/>
      <c r="Y30" s="475"/>
      <c r="Z30" s="475"/>
      <c r="AA30" s="475"/>
      <c r="AB30" s="475"/>
      <c r="AC30" s="475"/>
      <c r="AD30" s="578">
        <f t="shared" si="0"/>
        <v>0</v>
      </c>
      <c r="AE30" s="680">
        <f t="shared" si="1"/>
        <v>0</v>
      </c>
      <c r="AF30" s="681" t="str">
        <f t="shared" si="2"/>
        <v>sell</v>
      </c>
    </row>
    <row r="31" spans="1:32" s="356" customFormat="1" hidden="1" x14ac:dyDescent="0.2">
      <c r="A31" s="602" t="s">
        <v>267</v>
      </c>
      <c r="B31" s="471" t="s">
        <v>240</v>
      </c>
      <c r="C31" s="471" t="s">
        <v>151</v>
      </c>
      <c r="D31" s="472">
        <f t="shared" si="3"/>
        <v>0</v>
      </c>
      <c r="E31" s="472"/>
      <c r="F31" s="475"/>
      <c r="G31" s="653"/>
      <c r="H31" s="475"/>
      <c r="I31" s="475"/>
      <c r="J31" s="475"/>
      <c r="K31" s="475"/>
      <c r="L31" s="475"/>
      <c r="M31" s="475"/>
      <c r="N31" s="475"/>
      <c r="O31" s="475"/>
      <c r="P31" s="475"/>
      <c r="Q31" s="475"/>
      <c r="R31" s="475"/>
      <c r="S31" s="740"/>
      <c r="T31" s="475"/>
      <c r="U31" s="475"/>
      <c r="V31" s="475"/>
      <c r="W31" s="475"/>
      <c r="X31" s="475"/>
      <c r="Y31" s="475"/>
      <c r="Z31" s="475"/>
      <c r="AA31" s="475"/>
      <c r="AB31" s="475"/>
      <c r="AC31" s="475"/>
      <c r="AD31" s="578">
        <f t="shared" si="0"/>
        <v>0</v>
      </c>
      <c r="AE31" s="680">
        <f t="shared" si="1"/>
        <v>0</v>
      </c>
      <c r="AF31" s="681" t="str">
        <f t="shared" si="2"/>
        <v>sell</v>
      </c>
    </row>
    <row r="32" spans="1:32" s="356" customFormat="1" hidden="1" x14ac:dyDescent="0.2">
      <c r="A32" s="602" t="s">
        <v>267</v>
      </c>
      <c r="B32" s="471" t="s">
        <v>240</v>
      </c>
      <c r="C32" s="471" t="s">
        <v>151</v>
      </c>
      <c r="D32" s="472">
        <f t="shared" si="3"/>
        <v>0</v>
      </c>
      <c r="E32" s="472"/>
      <c r="F32" s="475"/>
      <c r="G32" s="653"/>
      <c r="H32" s="475"/>
      <c r="I32" s="475"/>
      <c r="J32" s="475"/>
      <c r="K32" s="475"/>
      <c r="L32" s="475"/>
      <c r="M32" s="475"/>
      <c r="N32" s="475"/>
      <c r="O32" s="475"/>
      <c r="P32" s="475"/>
      <c r="Q32" s="475"/>
      <c r="R32" s="475"/>
      <c r="S32" s="740"/>
      <c r="T32" s="475"/>
      <c r="U32" s="475"/>
      <c r="V32" s="475"/>
      <c r="W32" s="475"/>
      <c r="X32" s="475"/>
      <c r="Y32" s="475"/>
      <c r="Z32" s="475"/>
      <c r="AA32" s="475"/>
      <c r="AB32" s="475"/>
      <c r="AC32" s="475"/>
      <c r="AD32" s="578">
        <f t="shared" si="0"/>
        <v>0</v>
      </c>
      <c r="AE32" s="680">
        <f t="shared" si="1"/>
        <v>0</v>
      </c>
      <c r="AF32" s="681" t="str">
        <f t="shared" si="2"/>
        <v>sell</v>
      </c>
    </row>
    <row r="33" spans="1:32" s="356" customFormat="1" hidden="1" x14ac:dyDescent="0.2">
      <c r="A33" s="602" t="s">
        <v>267</v>
      </c>
      <c r="B33" s="471" t="s">
        <v>240</v>
      </c>
      <c r="C33" s="471" t="s">
        <v>151</v>
      </c>
      <c r="D33" s="472">
        <f t="shared" si="3"/>
        <v>0</v>
      </c>
      <c r="E33" s="472"/>
      <c r="F33" s="475"/>
      <c r="G33" s="653"/>
      <c r="H33" s="475"/>
      <c r="I33" s="475"/>
      <c r="J33" s="475"/>
      <c r="K33" s="475"/>
      <c r="L33" s="475"/>
      <c r="M33" s="475"/>
      <c r="N33" s="475"/>
      <c r="O33" s="475"/>
      <c r="P33" s="475"/>
      <c r="Q33" s="475"/>
      <c r="R33" s="475"/>
      <c r="S33" s="740"/>
      <c r="T33" s="475"/>
      <c r="U33" s="475"/>
      <c r="V33" s="475"/>
      <c r="W33" s="475"/>
      <c r="X33" s="475"/>
      <c r="Y33" s="475"/>
      <c r="Z33" s="475"/>
      <c r="AA33" s="655"/>
      <c r="AB33" s="475"/>
      <c r="AC33" s="475"/>
      <c r="AD33" s="578">
        <f t="shared" si="0"/>
        <v>0</v>
      </c>
      <c r="AE33" s="680">
        <f t="shared" si="1"/>
        <v>0</v>
      </c>
      <c r="AF33" s="681" t="str">
        <f t="shared" si="2"/>
        <v>sell</v>
      </c>
    </row>
    <row r="34" spans="1:32" s="356" customFormat="1" hidden="1" x14ac:dyDescent="0.2">
      <c r="A34" s="602" t="s">
        <v>267</v>
      </c>
      <c r="B34" s="471" t="s">
        <v>240</v>
      </c>
      <c r="C34" s="471" t="s">
        <v>151</v>
      </c>
      <c r="D34" s="472">
        <f t="shared" si="3"/>
        <v>0</v>
      </c>
      <c r="E34" s="472"/>
      <c r="F34" s="475"/>
      <c r="G34" s="653"/>
      <c r="H34" s="475"/>
      <c r="I34" s="475"/>
      <c r="J34" s="475"/>
      <c r="K34" s="475"/>
      <c r="L34" s="475"/>
      <c r="M34" s="475"/>
      <c r="N34" s="475"/>
      <c r="O34" s="475"/>
      <c r="P34" s="475"/>
      <c r="Q34" s="475"/>
      <c r="R34" s="475"/>
      <c r="S34" s="740"/>
      <c r="T34" s="475"/>
      <c r="U34" s="475"/>
      <c r="V34" s="475"/>
      <c r="W34" s="475"/>
      <c r="X34" s="475"/>
      <c r="Y34" s="475"/>
      <c r="Z34" s="475"/>
      <c r="AA34" s="475"/>
      <c r="AB34" s="475"/>
      <c r="AC34" s="475"/>
      <c r="AD34" s="578">
        <f t="shared" si="0"/>
        <v>0</v>
      </c>
      <c r="AE34" s="680">
        <f t="shared" si="1"/>
        <v>0</v>
      </c>
      <c r="AF34" s="681" t="str">
        <f t="shared" si="2"/>
        <v>sell</v>
      </c>
    </row>
    <row r="35" spans="1:32" s="356" customFormat="1" hidden="1" x14ac:dyDescent="0.2">
      <c r="A35" s="602" t="s">
        <v>267</v>
      </c>
      <c r="B35" s="471" t="s">
        <v>240</v>
      </c>
      <c r="C35" s="471" t="s">
        <v>151</v>
      </c>
      <c r="D35" s="472">
        <f t="shared" si="3"/>
        <v>0</v>
      </c>
      <c r="E35" s="472"/>
      <c r="F35" s="475"/>
      <c r="G35" s="653"/>
      <c r="H35" s="475"/>
      <c r="I35" s="475"/>
      <c r="J35" s="475"/>
      <c r="K35" s="475"/>
      <c r="L35" s="475"/>
      <c r="M35" s="475"/>
      <c r="N35" s="475"/>
      <c r="O35" s="475"/>
      <c r="P35" s="475"/>
      <c r="Q35" s="475"/>
      <c r="R35" s="475"/>
      <c r="S35" s="740"/>
      <c r="T35" s="475"/>
      <c r="U35" s="475"/>
      <c r="V35" s="475"/>
      <c r="W35" s="475"/>
      <c r="X35" s="475"/>
      <c r="Y35" s="475"/>
      <c r="Z35" s="475"/>
      <c r="AA35" s="475"/>
      <c r="AB35" s="475"/>
      <c r="AC35" s="475"/>
      <c r="AD35" s="578">
        <f t="shared" si="0"/>
        <v>0</v>
      </c>
      <c r="AE35" s="680">
        <f t="shared" si="1"/>
        <v>0</v>
      </c>
      <c r="AF35" s="681" t="str">
        <f t="shared" si="2"/>
        <v>sell</v>
      </c>
    </row>
    <row r="36" spans="1:32" s="356" customFormat="1" hidden="1" x14ac:dyDescent="0.2">
      <c r="A36" s="602" t="s">
        <v>267</v>
      </c>
      <c r="B36" s="471" t="s">
        <v>240</v>
      </c>
      <c r="C36" s="471" t="s">
        <v>151</v>
      </c>
      <c r="D36" s="472">
        <f t="shared" si="3"/>
        <v>0</v>
      </c>
      <c r="E36" s="472"/>
      <c r="F36" s="475"/>
      <c r="G36" s="653"/>
      <c r="H36" s="475"/>
      <c r="I36" s="475"/>
      <c r="J36" s="475"/>
      <c r="K36" s="475"/>
      <c r="L36" s="475"/>
      <c r="M36" s="475"/>
      <c r="N36" s="475"/>
      <c r="O36" s="475"/>
      <c r="P36" s="475"/>
      <c r="Q36" s="475"/>
      <c r="R36" s="475"/>
      <c r="S36" s="740"/>
      <c r="T36" s="475"/>
      <c r="U36" s="475"/>
      <c r="V36" s="475"/>
      <c r="W36" s="475"/>
      <c r="X36" s="475"/>
      <c r="Y36" s="475"/>
      <c r="Z36" s="475"/>
      <c r="AA36" s="475"/>
      <c r="AB36" s="475"/>
      <c r="AC36" s="475"/>
      <c r="AD36" s="578">
        <f t="shared" si="0"/>
        <v>0</v>
      </c>
      <c r="AE36" s="680">
        <f t="shared" si="1"/>
        <v>0</v>
      </c>
      <c r="AF36" s="681" t="str">
        <f t="shared" si="2"/>
        <v>sell</v>
      </c>
    </row>
    <row r="37" spans="1:32" s="356" customFormat="1" hidden="1" x14ac:dyDescent="0.2">
      <c r="A37" s="602" t="s">
        <v>267</v>
      </c>
      <c r="B37" s="471" t="s">
        <v>240</v>
      </c>
      <c r="C37" s="471" t="s">
        <v>151</v>
      </c>
      <c r="D37" s="472">
        <f t="shared" si="3"/>
        <v>0</v>
      </c>
      <c r="E37" s="472"/>
      <c r="F37" s="475"/>
      <c r="G37" s="653"/>
      <c r="H37" s="475"/>
      <c r="I37" s="475"/>
      <c r="J37" s="475"/>
      <c r="K37" s="475"/>
      <c r="L37" s="475"/>
      <c r="M37" s="475"/>
      <c r="N37" s="475"/>
      <c r="O37" s="475"/>
      <c r="P37" s="475"/>
      <c r="Q37" s="475"/>
      <c r="R37" s="475"/>
      <c r="S37" s="740"/>
      <c r="T37" s="475"/>
      <c r="U37" s="475"/>
      <c r="V37" s="475"/>
      <c r="W37" s="475"/>
      <c r="X37" s="475"/>
      <c r="Y37" s="475"/>
      <c r="Z37" s="475"/>
      <c r="AA37" s="475"/>
      <c r="AB37" s="475"/>
      <c r="AC37" s="475"/>
      <c r="AD37" s="578">
        <f t="shared" si="0"/>
        <v>0</v>
      </c>
      <c r="AE37" s="680">
        <f t="shared" si="1"/>
        <v>0</v>
      </c>
      <c r="AF37" s="681" t="str">
        <f t="shared" si="2"/>
        <v>sell</v>
      </c>
    </row>
    <row r="38" spans="1:32" s="356" customFormat="1" hidden="1" x14ac:dyDescent="0.2">
      <c r="A38" s="602" t="s">
        <v>267</v>
      </c>
      <c r="B38" s="471" t="s">
        <v>240</v>
      </c>
      <c r="C38" s="471" t="s">
        <v>151</v>
      </c>
      <c r="D38" s="472">
        <f t="shared" si="3"/>
        <v>0</v>
      </c>
      <c r="E38" s="472"/>
      <c r="F38" s="475"/>
      <c r="G38" s="653"/>
      <c r="H38" s="475"/>
      <c r="I38" s="475"/>
      <c r="J38" s="475"/>
      <c r="K38" s="475"/>
      <c r="L38" s="475"/>
      <c r="M38" s="475"/>
      <c r="N38" s="475"/>
      <c r="O38" s="475"/>
      <c r="P38" s="475"/>
      <c r="Q38" s="475"/>
      <c r="R38" s="475"/>
      <c r="S38" s="740"/>
      <c r="T38" s="475"/>
      <c r="U38" s="475"/>
      <c r="V38" s="475"/>
      <c r="W38" s="475"/>
      <c r="X38" s="475"/>
      <c r="Y38" s="475"/>
      <c r="Z38" s="475"/>
      <c r="AA38" s="475"/>
      <c r="AB38" s="475"/>
      <c r="AC38" s="475"/>
      <c r="AD38" s="578">
        <f t="shared" si="0"/>
        <v>0</v>
      </c>
      <c r="AE38" s="680">
        <f t="shared" si="1"/>
        <v>0</v>
      </c>
      <c r="AF38" s="681" t="str">
        <f t="shared" si="2"/>
        <v>sell</v>
      </c>
    </row>
    <row r="39" spans="1:32" s="356" customFormat="1" hidden="1" x14ac:dyDescent="0.2">
      <c r="A39" s="602" t="s">
        <v>267</v>
      </c>
      <c r="B39" s="471" t="s">
        <v>240</v>
      </c>
      <c r="C39" s="471" t="s">
        <v>151</v>
      </c>
      <c r="D39" s="472">
        <f t="shared" si="3"/>
        <v>0</v>
      </c>
      <c r="E39" s="472"/>
      <c r="F39" s="475"/>
      <c r="G39" s="653"/>
      <c r="H39" s="475"/>
      <c r="I39" s="475"/>
      <c r="J39" s="475"/>
      <c r="K39" s="475"/>
      <c r="L39" s="475"/>
      <c r="M39" s="475"/>
      <c r="N39" s="475"/>
      <c r="O39" s="475"/>
      <c r="P39" s="475"/>
      <c r="Q39" s="475"/>
      <c r="R39" s="475"/>
      <c r="S39" s="740"/>
      <c r="T39" s="475"/>
      <c r="U39" s="475"/>
      <c r="V39" s="475"/>
      <c r="W39" s="475"/>
      <c r="X39" s="475"/>
      <c r="Y39" s="475"/>
      <c r="Z39" s="475"/>
      <c r="AA39" s="475"/>
      <c r="AB39" s="475"/>
      <c r="AC39" s="475"/>
      <c r="AD39" s="578">
        <f t="shared" si="0"/>
        <v>0</v>
      </c>
      <c r="AE39" s="680">
        <f t="shared" si="1"/>
        <v>0</v>
      </c>
      <c r="AF39" s="681" t="str">
        <f t="shared" si="2"/>
        <v>sell</v>
      </c>
    </row>
    <row r="40" spans="1:32" s="356" customFormat="1" hidden="1" x14ac:dyDescent="0.2">
      <c r="A40" s="602" t="s">
        <v>267</v>
      </c>
      <c r="B40" s="471" t="s">
        <v>240</v>
      </c>
      <c r="C40" s="471" t="s">
        <v>151</v>
      </c>
      <c r="D40" s="472">
        <f t="shared" si="3"/>
        <v>0</v>
      </c>
      <c r="E40" s="472"/>
      <c r="F40" s="475"/>
      <c r="G40" s="653"/>
      <c r="H40" s="475"/>
      <c r="I40" s="475"/>
      <c r="J40" s="475"/>
      <c r="K40" s="475"/>
      <c r="L40" s="475"/>
      <c r="M40" s="475"/>
      <c r="N40" s="475"/>
      <c r="O40" s="475"/>
      <c r="P40" s="475"/>
      <c r="Q40" s="475"/>
      <c r="R40" s="475"/>
      <c r="S40" s="740"/>
      <c r="T40" s="475"/>
      <c r="U40" s="475"/>
      <c r="V40" s="475"/>
      <c r="W40" s="475"/>
      <c r="X40" s="475"/>
      <c r="Y40" s="475"/>
      <c r="Z40" s="475"/>
      <c r="AA40" s="475"/>
      <c r="AB40" s="475"/>
      <c r="AC40" s="475"/>
      <c r="AD40" s="578">
        <f t="shared" si="0"/>
        <v>0</v>
      </c>
      <c r="AE40" s="680">
        <f t="shared" si="1"/>
        <v>0</v>
      </c>
      <c r="AF40" s="681" t="str">
        <f t="shared" si="2"/>
        <v>sell</v>
      </c>
    </row>
    <row r="41" spans="1:32" s="356" customFormat="1" hidden="1" x14ac:dyDescent="0.2">
      <c r="A41" s="602"/>
      <c r="B41" s="471"/>
      <c r="C41" s="471"/>
      <c r="D41" s="472"/>
      <c r="E41" s="472"/>
      <c r="F41" s="475"/>
      <c r="G41" s="653"/>
      <c r="H41" s="475"/>
      <c r="I41" s="475"/>
      <c r="J41" s="475"/>
      <c r="K41" s="475"/>
      <c r="L41" s="475"/>
      <c r="M41" s="475"/>
      <c r="N41" s="475"/>
      <c r="O41" s="475"/>
      <c r="P41" s="475"/>
      <c r="Q41" s="475"/>
      <c r="R41" s="475"/>
      <c r="S41" s="740"/>
      <c r="T41" s="475"/>
      <c r="U41" s="475"/>
      <c r="V41" s="475"/>
      <c r="W41" s="475"/>
      <c r="X41" s="475"/>
      <c r="Y41" s="475"/>
      <c r="Z41" s="475"/>
      <c r="AA41" s="475"/>
      <c r="AB41" s="475"/>
      <c r="AC41" s="475"/>
      <c r="AD41" s="578">
        <f t="shared" si="0"/>
        <v>0</v>
      </c>
      <c r="AE41" s="680">
        <f t="shared" si="1"/>
        <v>0</v>
      </c>
      <c r="AF41" s="681"/>
    </row>
    <row r="42" spans="1:32" s="356" customFormat="1" hidden="1" x14ac:dyDescent="0.2">
      <c r="A42" s="602" t="s">
        <v>267</v>
      </c>
      <c r="B42" s="471" t="s">
        <v>240</v>
      </c>
      <c r="C42" s="471" t="s">
        <v>268</v>
      </c>
      <c r="D42" s="472">
        <f t="shared" ref="D42:D64" si="4">F144</f>
        <v>0</v>
      </c>
      <c r="E42" s="472"/>
      <c r="F42" s="475">
        <v>0</v>
      </c>
      <c r="G42" s="475"/>
      <c r="H42" s="475"/>
      <c r="I42" s="475"/>
      <c r="J42" s="475"/>
      <c r="K42" s="475"/>
      <c r="L42" s="475"/>
      <c r="M42" s="475"/>
      <c r="N42" s="475"/>
      <c r="O42" s="475"/>
      <c r="P42" s="475"/>
      <c r="Q42" s="475"/>
      <c r="R42" s="475"/>
      <c r="S42" s="740"/>
      <c r="T42" s="475"/>
      <c r="U42" s="475"/>
      <c r="V42" s="475"/>
      <c r="W42" s="475"/>
      <c r="X42" s="475"/>
      <c r="Y42" s="475"/>
      <c r="Z42" s="475"/>
      <c r="AA42" s="475"/>
      <c r="AB42" s="475"/>
      <c r="AC42" s="475"/>
      <c r="AD42" s="578">
        <f t="shared" si="0"/>
        <v>0</v>
      </c>
      <c r="AE42" s="680">
        <f t="shared" si="1"/>
        <v>0</v>
      </c>
      <c r="AF42" s="681" t="str">
        <f>IF(AD42&lt;0,"buy","sell")</f>
        <v>sell</v>
      </c>
    </row>
    <row r="43" spans="1:32" s="356" customFormat="1" hidden="1" x14ac:dyDescent="0.2">
      <c r="A43" s="602" t="s">
        <v>267</v>
      </c>
      <c r="B43" s="471" t="s">
        <v>240</v>
      </c>
      <c r="C43" s="471" t="s">
        <v>268</v>
      </c>
      <c r="D43" s="472">
        <f t="shared" si="4"/>
        <v>0</v>
      </c>
      <c r="E43" s="472"/>
      <c r="F43" s="475"/>
      <c r="G43" s="475"/>
      <c r="H43" s="475"/>
      <c r="I43" s="475"/>
      <c r="J43" s="475"/>
      <c r="K43" s="475"/>
      <c r="L43" s="475"/>
      <c r="M43" s="475"/>
      <c r="N43" s="475"/>
      <c r="O43" s="475"/>
      <c r="P43" s="475"/>
      <c r="Q43" s="475"/>
      <c r="R43" s="475"/>
      <c r="S43" s="740"/>
      <c r="T43" s="475"/>
      <c r="U43" s="475"/>
      <c r="V43" s="475"/>
      <c r="W43" s="475"/>
      <c r="X43" s="475"/>
      <c r="Y43" s="475"/>
      <c r="Z43" s="475"/>
      <c r="AA43" s="475"/>
      <c r="AB43" s="475"/>
      <c r="AC43" s="475"/>
      <c r="AD43" s="578">
        <f t="shared" si="0"/>
        <v>0</v>
      </c>
      <c r="AE43" s="680">
        <f t="shared" si="1"/>
        <v>0</v>
      </c>
      <c r="AF43" s="681" t="str">
        <f t="shared" ref="AF43:AF76" si="5">IF(AD43&lt;0,"buy","sell")</f>
        <v>sell</v>
      </c>
    </row>
    <row r="44" spans="1:32" s="356" customFormat="1" hidden="1" x14ac:dyDescent="0.2">
      <c r="A44" s="602" t="s">
        <v>267</v>
      </c>
      <c r="B44" s="471" t="s">
        <v>240</v>
      </c>
      <c r="C44" s="471" t="s">
        <v>268</v>
      </c>
      <c r="D44" s="472">
        <f t="shared" si="4"/>
        <v>0</v>
      </c>
      <c r="E44" s="472"/>
      <c r="F44" s="475"/>
      <c r="G44" s="475"/>
      <c r="H44" s="475"/>
      <c r="I44" s="475"/>
      <c r="J44" s="475"/>
      <c r="K44" s="475"/>
      <c r="L44" s="475"/>
      <c r="M44" s="475"/>
      <c r="N44" s="475"/>
      <c r="O44" s="475"/>
      <c r="P44" s="475"/>
      <c r="Q44" s="475"/>
      <c r="R44" s="475"/>
      <c r="S44" s="740"/>
      <c r="T44" s="475"/>
      <c r="U44" s="475"/>
      <c r="V44" s="475"/>
      <c r="W44" s="475"/>
      <c r="X44" s="475"/>
      <c r="Y44" s="475"/>
      <c r="Z44" s="475"/>
      <c r="AA44" s="475"/>
      <c r="AB44" s="475"/>
      <c r="AC44" s="475"/>
      <c r="AD44" s="578">
        <f t="shared" si="0"/>
        <v>0</v>
      </c>
      <c r="AE44" s="680">
        <f t="shared" si="1"/>
        <v>0</v>
      </c>
      <c r="AF44" s="681" t="str">
        <f t="shared" si="5"/>
        <v>sell</v>
      </c>
    </row>
    <row r="45" spans="1:32" s="356" customFormat="1" hidden="1" x14ac:dyDescent="0.2">
      <c r="A45" s="602" t="s">
        <v>267</v>
      </c>
      <c r="B45" s="471" t="s">
        <v>240</v>
      </c>
      <c r="C45" s="471" t="s">
        <v>268</v>
      </c>
      <c r="D45" s="472">
        <f t="shared" si="4"/>
        <v>0</v>
      </c>
      <c r="E45" s="472"/>
      <c r="F45" s="475"/>
      <c r="G45" s="475"/>
      <c r="H45" s="475"/>
      <c r="I45" s="475"/>
      <c r="J45" s="475"/>
      <c r="K45" s="475"/>
      <c r="L45" s="475"/>
      <c r="M45" s="475"/>
      <c r="N45" s="475"/>
      <c r="O45" s="475"/>
      <c r="P45" s="475"/>
      <c r="Q45" s="475"/>
      <c r="R45" s="475"/>
      <c r="S45" s="740"/>
      <c r="T45" s="475"/>
      <c r="U45" s="475"/>
      <c r="V45" s="475"/>
      <c r="W45" s="475"/>
      <c r="X45" s="475"/>
      <c r="Y45" s="475"/>
      <c r="Z45" s="475"/>
      <c r="AA45" s="475"/>
      <c r="AB45" s="475"/>
      <c r="AC45" s="475"/>
      <c r="AD45" s="578">
        <f t="shared" si="0"/>
        <v>0</v>
      </c>
      <c r="AE45" s="680">
        <f t="shared" si="1"/>
        <v>0</v>
      </c>
      <c r="AF45" s="681" t="str">
        <f t="shared" si="5"/>
        <v>sell</v>
      </c>
    </row>
    <row r="46" spans="1:32" s="356" customFormat="1" hidden="1" x14ac:dyDescent="0.2">
      <c r="A46" s="602" t="s">
        <v>267</v>
      </c>
      <c r="B46" s="471" t="s">
        <v>240</v>
      </c>
      <c r="C46" s="471" t="s">
        <v>268</v>
      </c>
      <c r="D46" s="472">
        <f t="shared" si="4"/>
        <v>0</v>
      </c>
      <c r="E46" s="472"/>
      <c r="F46" s="475"/>
      <c r="G46" s="475"/>
      <c r="H46" s="475"/>
      <c r="I46" s="475"/>
      <c r="J46" s="475"/>
      <c r="K46" s="475"/>
      <c r="L46" s="475"/>
      <c r="M46" s="475"/>
      <c r="N46" s="475"/>
      <c r="O46" s="475"/>
      <c r="P46" s="475"/>
      <c r="Q46" s="475"/>
      <c r="R46" s="475"/>
      <c r="S46" s="740"/>
      <c r="T46" s="475"/>
      <c r="U46" s="475"/>
      <c r="V46" s="475"/>
      <c r="W46" s="475"/>
      <c r="X46" s="475"/>
      <c r="Y46" s="475"/>
      <c r="Z46" s="475"/>
      <c r="AA46" s="475"/>
      <c r="AB46" s="475"/>
      <c r="AC46" s="475"/>
      <c r="AD46" s="578">
        <f t="shared" si="0"/>
        <v>0</v>
      </c>
      <c r="AE46" s="680">
        <f t="shared" si="1"/>
        <v>0</v>
      </c>
      <c r="AF46" s="681" t="str">
        <f t="shared" si="5"/>
        <v>sell</v>
      </c>
    </row>
    <row r="47" spans="1:32" s="356" customFormat="1" hidden="1" x14ac:dyDescent="0.2">
      <c r="A47" s="602" t="s">
        <v>267</v>
      </c>
      <c r="B47" s="471" t="s">
        <v>240</v>
      </c>
      <c r="C47" s="471" t="s">
        <v>268</v>
      </c>
      <c r="D47" s="472">
        <f t="shared" si="4"/>
        <v>0</v>
      </c>
      <c r="E47" s="472"/>
      <c r="F47" s="475"/>
      <c r="G47" s="475"/>
      <c r="H47" s="475"/>
      <c r="I47" s="475"/>
      <c r="J47" s="475"/>
      <c r="K47" s="475"/>
      <c r="L47" s="475"/>
      <c r="M47" s="475"/>
      <c r="N47" s="475"/>
      <c r="O47" s="475"/>
      <c r="P47" s="475"/>
      <c r="Q47" s="475"/>
      <c r="R47" s="475"/>
      <c r="S47" s="740"/>
      <c r="T47" s="475"/>
      <c r="U47" s="475"/>
      <c r="V47" s="475"/>
      <c r="W47" s="475"/>
      <c r="X47" s="475"/>
      <c r="Y47" s="475"/>
      <c r="Z47" s="475"/>
      <c r="AA47" s="475"/>
      <c r="AB47" s="475"/>
      <c r="AC47" s="475"/>
      <c r="AD47" s="578">
        <f t="shared" si="0"/>
        <v>0</v>
      </c>
      <c r="AE47" s="680">
        <f t="shared" si="1"/>
        <v>0</v>
      </c>
      <c r="AF47" s="681" t="str">
        <f t="shared" si="5"/>
        <v>sell</v>
      </c>
    </row>
    <row r="48" spans="1:32" s="356" customFormat="1" hidden="1" x14ac:dyDescent="0.2">
      <c r="A48" s="602" t="s">
        <v>267</v>
      </c>
      <c r="B48" s="471" t="s">
        <v>240</v>
      </c>
      <c r="C48" s="471" t="s">
        <v>268</v>
      </c>
      <c r="D48" s="472">
        <f t="shared" si="4"/>
        <v>0</v>
      </c>
      <c r="E48" s="472"/>
      <c r="F48" s="475"/>
      <c r="G48" s="475"/>
      <c r="H48" s="475"/>
      <c r="I48" s="475"/>
      <c r="J48" s="475"/>
      <c r="K48" s="475"/>
      <c r="L48" s="475"/>
      <c r="M48" s="475"/>
      <c r="N48" s="475"/>
      <c r="O48" s="475"/>
      <c r="P48" s="475"/>
      <c r="Q48" s="475"/>
      <c r="R48" s="475"/>
      <c r="S48" s="740"/>
      <c r="T48" s="475"/>
      <c r="U48" s="475"/>
      <c r="V48" s="475"/>
      <c r="W48" s="475"/>
      <c r="X48" s="475"/>
      <c r="Y48" s="475"/>
      <c r="Z48" s="475"/>
      <c r="AA48" s="475"/>
      <c r="AB48" s="475"/>
      <c r="AC48" s="475"/>
      <c r="AD48" s="578">
        <f t="shared" si="0"/>
        <v>0</v>
      </c>
      <c r="AE48" s="680">
        <f t="shared" si="1"/>
        <v>0</v>
      </c>
      <c r="AF48" s="681" t="str">
        <f t="shared" si="5"/>
        <v>sell</v>
      </c>
    </row>
    <row r="49" spans="1:32" s="356" customFormat="1" hidden="1" x14ac:dyDescent="0.2">
      <c r="A49" s="602" t="s">
        <v>267</v>
      </c>
      <c r="B49" s="471" t="s">
        <v>240</v>
      </c>
      <c r="C49" s="471" t="s">
        <v>268</v>
      </c>
      <c r="D49" s="472">
        <f t="shared" si="4"/>
        <v>0</v>
      </c>
      <c r="E49" s="472"/>
      <c r="F49" s="475"/>
      <c r="G49" s="475"/>
      <c r="H49" s="475"/>
      <c r="I49" s="475"/>
      <c r="J49" s="475"/>
      <c r="K49" s="475"/>
      <c r="L49" s="475"/>
      <c r="M49" s="475"/>
      <c r="N49" s="475"/>
      <c r="O49" s="475"/>
      <c r="P49" s="475"/>
      <c r="Q49" s="475"/>
      <c r="R49" s="475"/>
      <c r="S49" s="740"/>
      <c r="T49" s="475"/>
      <c r="U49" s="475"/>
      <c r="V49" s="475"/>
      <c r="W49" s="475"/>
      <c r="X49" s="475"/>
      <c r="Y49" s="475"/>
      <c r="Z49" s="475"/>
      <c r="AA49" s="475"/>
      <c r="AB49" s="475"/>
      <c r="AC49" s="475"/>
      <c r="AD49" s="578">
        <f t="shared" si="0"/>
        <v>0</v>
      </c>
      <c r="AE49" s="680">
        <f t="shared" si="1"/>
        <v>0</v>
      </c>
      <c r="AF49" s="681" t="str">
        <f t="shared" si="5"/>
        <v>sell</v>
      </c>
    </row>
    <row r="50" spans="1:32" s="356" customFormat="1" hidden="1" x14ac:dyDescent="0.2">
      <c r="A50" s="602" t="s">
        <v>267</v>
      </c>
      <c r="B50" s="471" t="s">
        <v>240</v>
      </c>
      <c r="C50" s="471" t="s">
        <v>268</v>
      </c>
      <c r="D50" s="472">
        <f t="shared" si="4"/>
        <v>0</v>
      </c>
      <c r="E50" s="472"/>
      <c r="F50" s="475"/>
      <c r="G50" s="475"/>
      <c r="H50" s="475"/>
      <c r="I50" s="475"/>
      <c r="J50" s="475"/>
      <c r="K50" s="475"/>
      <c r="L50" s="475"/>
      <c r="M50" s="475"/>
      <c r="N50" s="475"/>
      <c r="O50" s="475"/>
      <c r="P50" s="475"/>
      <c r="Q50" s="475"/>
      <c r="R50" s="475"/>
      <c r="S50" s="740"/>
      <c r="T50" s="475"/>
      <c r="U50" s="475"/>
      <c r="V50" s="475"/>
      <c r="W50" s="475"/>
      <c r="X50" s="475"/>
      <c r="Y50" s="475"/>
      <c r="Z50" s="475"/>
      <c r="AA50" s="475"/>
      <c r="AB50" s="475"/>
      <c r="AC50" s="475"/>
      <c r="AD50" s="578">
        <f t="shared" si="0"/>
        <v>0</v>
      </c>
      <c r="AE50" s="680">
        <f t="shared" si="1"/>
        <v>0</v>
      </c>
      <c r="AF50" s="681" t="str">
        <f t="shared" si="5"/>
        <v>sell</v>
      </c>
    </row>
    <row r="51" spans="1:32" s="356" customFormat="1" hidden="1" x14ac:dyDescent="0.2">
      <c r="A51" s="602" t="s">
        <v>267</v>
      </c>
      <c r="B51" s="471" t="s">
        <v>240</v>
      </c>
      <c r="C51" s="471" t="s">
        <v>268</v>
      </c>
      <c r="D51" s="472">
        <f t="shared" si="4"/>
        <v>0</v>
      </c>
      <c r="E51" s="472"/>
      <c r="F51" s="475"/>
      <c r="G51" s="475"/>
      <c r="H51" s="475"/>
      <c r="I51" s="475"/>
      <c r="J51" s="475"/>
      <c r="K51" s="475"/>
      <c r="L51" s="475"/>
      <c r="M51" s="475"/>
      <c r="N51" s="475"/>
      <c r="O51" s="475"/>
      <c r="P51" s="475"/>
      <c r="Q51" s="475"/>
      <c r="R51" s="475"/>
      <c r="S51" s="740"/>
      <c r="T51" s="475"/>
      <c r="U51" s="475"/>
      <c r="V51" s="475"/>
      <c r="W51" s="475"/>
      <c r="X51" s="475"/>
      <c r="Y51" s="475"/>
      <c r="Z51" s="475"/>
      <c r="AA51" s="475"/>
      <c r="AB51" s="475"/>
      <c r="AC51" s="475"/>
      <c r="AD51" s="578">
        <f t="shared" si="0"/>
        <v>0</v>
      </c>
      <c r="AE51" s="680">
        <f t="shared" si="1"/>
        <v>0</v>
      </c>
      <c r="AF51" s="681" t="str">
        <f t="shared" si="5"/>
        <v>sell</v>
      </c>
    </row>
    <row r="52" spans="1:32" s="356" customFormat="1" hidden="1" x14ac:dyDescent="0.2">
      <c r="A52" s="602" t="s">
        <v>267</v>
      </c>
      <c r="B52" s="471" t="s">
        <v>240</v>
      </c>
      <c r="C52" s="471" t="s">
        <v>268</v>
      </c>
      <c r="D52" s="472">
        <f t="shared" si="4"/>
        <v>0</v>
      </c>
      <c r="E52" s="472"/>
      <c r="F52" s="475"/>
      <c r="G52" s="475"/>
      <c r="H52" s="475"/>
      <c r="I52" s="475"/>
      <c r="J52" s="475"/>
      <c r="K52" s="475"/>
      <c r="L52" s="475"/>
      <c r="M52" s="475"/>
      <c r="N52" s="475"/>
      <c r="O52" s="475"/>
      <c r="P52" s="475"/>
      <c r="Q52" s="475"/>
      <c r="R52" s="475"/>
      <c r="S52" s="740"/>
      <c r="T52" s="475"/>
      <c r="U52" s="475"/>
      <c r="V52" s="475"/>
      <c r="W52" s="475"/>
      <c r="X52" s="475"/>
      <c r="Y52" s="475"/>
      <c r="Z52" s="475"/>
      <c r="AA52" s="475"/>
      <c r="AB52" s="475"/>
      <c r="AC52" s="475"/>
      <c r="AD52" s="578">
        <f t="shared" si="0"/>
        <v>0</v>
      </c>
      <c r="AE52" s="680">
        <f t="shared" si="1"/>
        <v>0</v>
      </c>
      <c r="AF52" s="681" t="str">
        <f t="shared" si="5"/>
        <v>sell</v>
      </c>
    </row>
    <row r="53" spans="1:32" s="356" customFormat="1" hidden="1" x14ac:dyDescent="0.2">
      <c r="A53" s="602" t="s">
        <v>267</v>
      </c>
      <c r="B53" s="471" t="s">
        <v>240</v>
      </c>
      <c r="C53" s="471" t="s">
        <v>268</v>
      </c>
      <c r="D53" s="472">
        <f t="shared" si="4"/>
        <v>0</v>
      </c>
      <c r="E53" s="472"/>
      <c r="F53" s="475"/>
      <c r="G53" s="475"/>
      <c r="H53" s="475"/>
      <c r="I53" s="475"/>
      <c r="J53" s="475"/>
      <c r="K53" s="475"/>
      <c r="L53" s="475"/>
      <c r="M53" s="475"/>
      <c r="N53" s="475"/>
      <c r="O53" s="475"/>
      <c r="P53" s="475"/>
      <c r="Q53" s="475"/>
      <c r="R53" s="475"/>
      <c r="S53" s="740"/>
      <c r="T53" s="475"/>
      <c r="U53" s="475"/>
      <c r="V53" s="475"/>
      <c r="W53" s="475"/>
      <c r="X53" s="475"/>
      <c r="Y53" s="475"/>
      <c r="Z53" s="475"/>
      <c r="AA53" s="475"/>
      <c r="AB53" s="475"/>
      <c r="AC53" s="475"/>
      <c r="AD53" s="578">
        <f t="shared" si="0"/>
        <v>0</v>
      </c>
      <c r="AE53" s="680">
        <f t="shared" si="1"/>
        <v>0</v>
      </c>
      <c r="AF53" s="681" t="str">
        <f t="shared" si="5"/>
        <v>sell</v>
      </c>
    </row>
    <row r="54" spans="1:32" s="356" customFormat="1" hidden="1" x14ac:dyDescent="0.2">
      <c r="A54" s="602" t="s">
        <v>267</v>
      </c>
      <c r="B54" s="471" t="s">
        <v>240</v>
      </c>
      <c r="C54" s="471" t="s">
        <v>268</v>
      </c>
      <c r="D54" s="472">
        <f t="shared" si="4"/>
        <v>0</v>
      </c>
      <c r="E54" s="472"/>
      <c r="F54" s="475"/>
      <c r="G54" s="475"/>
      <c r="H54" s="475"/>
      <c r="I54" s="475"/>
      <c r="J54" s="475"/>
      <c r="K54" s="475"/>
      <c r="L54" s="475"/>
      <c r="M54" s="475"/>
      <c r="N54" s="475"/>
      <c r="O54" s="475"/>
      <c r="P54" s="475"/>
      <c r="Q54" s="475"/>
      <c r="R54" s="475"/>
      <c r="S54" s="740"/>
      <c r="T54" s="475"/>
      <c r="U54" s="475"/>
      <c r="V54" s="475"/>
      <c r="W54" s="475"/>
      <c r="X54" s="475"/>
      <c r="Y54" s="475"/>
      <c r="Z54" s="475"/>
      <c r="AA54" s="475"/>
      <c r="AB54" s="475"/>
      <c r="AC54" s="475"/>
      <c r="AD54" s="578">
        <f t="shared" si="0"/>
        <v>0</v>
      </c>
      <c r="AE54" s="680">
        <f t="shared" si="1"/>
        <v>0</v>
      </c>
      <c r="AF54" s="681" t="str">
        <f t="shared" si="5"/>
        <v>sell</v>
      </c>
    </row>
    <row r="55" spans="1:32" s="356" customFormat="1" hidden="1" x14ac:dyDescent="0.2">
      <c r="A55" s="602" t="s">
        <v>267</v>
      </c>
      <c r="B55" s="471" t="s">
        <v>240</v>
      </c>
      <c r="C55" s="471" t="s">
        <v>268</v>
      </c>
      <c r="D55" s="472">
        <f t="shared" si="4"/>
        <v>0</v>
      </c>
      <c r="E55" s="472"/>
      <c r="F55" s="475"/>
      <c r="G55" s="475"/>
      <c r="H55" s="475"/>
      <c r="I55" s="475"/>
      <c r="J55" s="475"/>
      <c r="K55" s="475"/>
      <c r="L55" s="475"/>
      <c r="M55" s="475"/>
      <c r="N55" s="475"/>
      <c r="O55" s="475"/>
      <c r="P55" s="475"/>
      <c r="Q55" s="475"/>
      <c r="R55" s="475"/>
      <c r="S55" s="740"/>
      <c r="T55" s="475"/>
      <c r="U55" s="475"/>
      <c r="V55" s="475"/>
      <c r="W55" s="475"/>
      <c r="X55" s="475"/>
      <c r="Y55" s="475"/>
      <c r="Z55" s="475"/>
      <c r="AA55" s="475"/>
      <c r="AB55" s="475"/>
      <c r="AC55" s="475"/>
      <c r="AD55" s="578">
        <f t="shared" si="0"/>
        <v>0</v>
      </c>
      <c r="AE55" s="680">
        <f t="shared" si="1"/>
        <v>0</v>
      </c>
      <c r="AF55" s="681" t="str">
        <f t="shared" si="5"/>
        <v>sell</v>
      </c>
    </row>
    <row r="56" spans="1:32" s="356" customFormat="1" hidden="1" x14ac:dyDescent="0.2">
      <c r="A56" s="602" t="s">
        <v>267</v>
      </c>
      <c r="B56" s="471" t="s">
        <v>240</v>
      </c>
      <c r="C56" s="471" t="s">
        <v>268</v>
      </c>
      <c r="D56" s="472">
        <f t="shared" si="4"/>
        <v>0</v>
      </c>
      <c r="E56" s="472"/>
      <c r="F56" s="475"/>
      <c r="G56" s="475"/>
      <c r="H56" s="475"/>
      <c r="I56" s="475"/>
      <c r="J56" s="475"/>
      <c r="K56" s="475"/>
      <c r="L56" s="475"/>
      <c r="M56" s="475"/>
      <c r="N56" s="475"/>
      <c r="O56" s="475"/>
      <c r="P56" s="475"/>
      <c r="Q56" s="475"/>
      <c r="R56" s="475"/>
      <c r="S56" s="740"/>
      <c r="T56" s="475"/>
      <c r="U56" s="475"/>
      <c r="V56" s="475"/>
      <c r="W56" s="475"/>
      <c r="X56" s="475"/>
      <c r="Y56" s="475"/>
      <c r="Z56" s="475"/>
      <c r="AA56" s="475"/>
      <c r="AB56" s="475"/>
      <c r="AC56" s="475"/>
      <c r="AD56" s="578">
        <f t="shared" si="0"/>
        <v>0</v>
      </c>
      <c r="AE56" s="680">
        <f t="shared" si="1"/>
        <v>0</v>
      </c>
      <c r="AF56" s="681" t="str">
        <f t="shared" si="5"/>
        <v>sell</v>
      </c>
    </row>
    <row r="57" spans="1:32" s="356" customFormat="1" hidden="1" x14ac:dyDescent="0.2">
      <c r="A57" s="602" t="s">
        <v>267</v>
      </c>
      <c r="B57" s="471" t="s">
        <v>240</v>
      </c>
      <c r="C57" s="471" t="s">
        <v>268</v>
      </c>
      <c r="D57" s="472">
        <f t="shared" si="4"/>
        <v>0</v>
      </c>
      <c r="E57" s="472"/>
      <c r="F57" s="475"/>
      <c r="G57" s="475"/>
      <c r="H57" s="475"/>
      <c r="I57" s="475"/>
      <c r="J57" s="475"/>
      <c r="K57" s="475"/>
      <c r="L57" s="475"/>
      <c r="M57" s="475"/>
      <c r="N57" s="475"/>
      <c r="O57" s="475"/>
      <c r="P57" s="475"/>
      <c r="Q57" s="475"/>
      <c r="R57" s="475"/>
      <c r="S57" s="740"/>
      <c r="T57" s="475"/>
      <c r="U57" s="475"/>
      <c r="V57" s="475"/>
      <c r="W57" s="475"/>
      <c r="X57" s="475"/>
      <c r="Y57" s="475"/>
      <c r="Z57" s="475"/>
      <c r="AA57" s="475"/>
      <c r="AB57" s="475"/>
      <c r="AC57" s="475"/>
      <c r="AD57" s="578">
        <f t="shared" si="0"/>
        <v>0</v>
      </c>
      <c r="AE57" s="680">
        <f t="shared" si="1"/>
        <v>0</v>
      </c>
      <c r="AF57" s="681" t="str">
        <f t="shared" si="5"/>
        <v>sell</v>
      </c>
    </row>
    <row r="58" spans="1:32" s="356" customFormat="1" hidden="1" x14ac:dyDescent="0.2">
      <c r="A58" s="602" t="s">
        <v>267</v>
      </c>
      <c r="B58" s="471" t="s">
        <v>240</v>
      </c>
      <c r="C58" s="471" t="s">
        <v>268</v>
      </c>
      <c r="D58" s="472">
        <f t="shared" si="4"/>
        <v>0</v>
      </c>
      <c r="E58" s="472"/>
      <c r="F58" s="475"/>
      <c r="G58" s="475"/>
      <c r="H58" s="475"/>
      <c r="I58" s="475"/>
      <c r="J58" s="475"/>
      <c r="K58" s="475"/>
      <c r="L58" s="475"/>
      <c r="M58" s="475"/>
      <c r="N58" s="475"/>
      <c r="O58" s="475"/>
      <c r="P58" s="475"/>
      <c r="Q58" s="475"/>
      <c r="R58" s="475"/>
      <c r="S58" s="740"/>
      <c r="T58" s="475"/>
      <c r="U58" s="475"/>
      <c r="V58" s="475"/>
      <c r="W58" s="475"/>
      <c r="X58" s="475"/>
      <c r="Y58" s="475"/>
      <c r="Z58" s="475"/>
      <c r="AA58" s="475"/>
      <c r="AB58" s="475"/>
      <c r="AC58" s="475"/>
      <c r="AD58" s="578">
        <f t="shared" si="0"/>
        <v>0</v>
      </c>
      <c r="AE58" s="680">
        <f t="shared" si="1"/>
        <v>0</v>
      </c>
      <c r="AF58" s="681" t="str">
        <f t="shared" si="5"/>
        <v>sell</v>
      </c>
    </row>
    <row r="59" spans="1:32" s="356" customFormat="1" hidden="1" x14ac:dyDescent="0.2">
      <c r="A59" s="602" t="s">
        <v>267</v>
      </c>
      <c r="B59" s="471" t="s">
        <v>240</v>
      </c>
      <c r="C59" s="471" t="s">
        <v>268</v>
      </c>
      <c r="D59" s="472">
        <f t="shared" si="4"/>
        <v>0</v>
      </c>
      <c r="E59" s="472"/>
      <c r="F59" s="475"/>
      <c r="G59" s="475"/>
      <c r="H59" s="475"/>
      <c r="I59" s="475"/>
      <c r="J59" s="475"/>
      <c r="K59" s="475"/>
      <c r="L59" s="475"/>
      <c r="M59" s="475"/>
      <c r="N59" s="475"/>
      <c r="O59" s="475"/>
      <c r="P59" s="475"/>
      <c r="Q59" s="475"/>
      <c r="R59" s="475"/>
      <c r="S59" s="740"/>
      <c r="T59" s="475"/>
      <c r="U59" s="475"/>
      <c r="V59" s="475"/>
      <c r="W59" s="475"/>
      <c r="X59" s="475"/>
      <c r="Y59" s="475"/>
      <c r="Z59" s="475"/>
      <c r="AA59" s="475"/>
      <c r="AB59" s="475"/>
      <c r="AC59" s="475"/>
      <c r="AD59" s="578">
        <f t="shared" si="0"/>
        <v>0</v>
      </c>
      <c r="AE59" s="680">
        <f t="shared" si="1"/>
        <v>0</v>
      </c>
      <c r="AF59" s="681" t="str">
        <f t="shared" si="5"/>
        <v>sell</v>
      </c>
    </row>
    <row r="60" spans="1:32" s="356" customFormat="1" hidden="1" x14ac:dyDescent="0.2">
      <c r="A60" s="602" t="s">
        <v>267</v>
      </c>
      <c r="B60" s="471" t="s">
        <v>240</v>
      </c>
      <c r="C60" s="471" t="s">
        <v>268</v>
      </c>
      <c r="D60" s="472">
        <f t="shared" si="4"/>
        <v>0</v>
      </c>
      <c r="E60" s="472"/>
      <c r="F60" s="475"/>
      <c r="G60" s="475"/>
      <c r="H60" s="475"/>
      <c r="I60" s="475"/>
      <c r="J60" s="475"/>
      <c r="K60" s="475"/>
      <c r="L60" s="475"/>
      <c r="M60" s="475"/>
      <c r="N60" s="475"/>
      <c r="O60" s="475"/>
      <c r="P60" s="475"/>
      <c r="Q60" s="475"/>
      <c r="R60" s="475"/>
      <c r="S60" s="740"/>
      <c r="T60" s="475"/>
      <c r="U60" s="475"/>
      <c r="V60" s="475"/>
      <c r="W60" s="475"/>
      <c r="X60" s="475"/>
      <c r="Y60" s="475"/>
      <c r="Z60" s="475"/>
      <c r="AA60" s="475"/>
      <c r="AB60" s="475"/>
      <c r="AC60" s="475"/>
      <c r="AD60" s="578">
        <f t="shared" si="0"/>
        <v>0</v>
      </c>
      <c r="AE60" s="680">
        <f t="shared" si="1"/>
        <v>0</v>
      </c>
      <c r="AF60" s="681" t="str">
        <f t="shared" si="5"/>
        <v>sell</v>
      </c>
    </row>
    <row r="61" spans="1:32" s="356" customFormat="1" hidden="1" x14ac:dyDescent="0.2">
      <c r="A61" s="602" t="s">
        <v>267</v>
      </c>
      <c r="B61" s="471" t="s">
        <v>240</v>
      </c>
      <c r="C61" s="471" t="s">
        <v>268</v>
      </c>
      <c r="D61" s="472">
        <f t="shared" si="4"/>
        <v>0</v>
      </c>
      <c r="E61" s="472"/>
      <c r="F61" s="475"/>
      <c r="G61" s="475"/>
      <c r="H61" s="475"/>
      <c r="I61" s="475"/>
      <c r="J61" s="475"/>
      <c r="K61" s="475"/>
      <c r="L61" s="475"/>
      <c r="M61" s="475"/>
      <c r="N61" s="475"/>
      <c r="O61" s="475"/>
      <c r="P61" s="475"/>
      <c r="Q61" s="475"/>
      <c r="R61" s="475"/>
      <c r="S61" s="740"/>
      <c r="T61" s="475"/>
      <c r="U61" s="475"/>
      <c r="V61" s="475"/>
      <c r="W61" s="475"/>
      <c r="X61" s="475"/>
      <c r="Y61" s="475"/>
      <c r="Z61" s="475"/>
      <c r="AA61" s="475"/>
      <c r="AB61" s="475"/>
      <c r="AC61" s="475"/>
      <c r="AD61" s="578">
        <f t="shared" si="0"/>
        <v>0</v>
      </c>
      <c r="AE61" s="680">
        <f t="shared" si="1"/>
        <v>0</v>
      </c>
      <c r="AF61" s="681" t="str">
        <f t="shared" si="5"/>
        <v>sell</v>
      </c>
    </row>
    <row r="62" spans="1:32" s="356" customFormat="1" hidden="1" x14ac:dyDescent="0.2">
      <c r="A62" s="602" t="s">
        <v>267</v>
      </c>
      <c r="B62" s="471" t="s">
        <v>240</v>
      </c>
      <c r="C62" s="471" t="s">
        <v>268</v>
      </c>
      <c r="D62" s="472">
        <f t="shared" si="4"/>
        <v>0</v>
      </c>
      <c r="E62" s="472"/>
      <c r="F62" s="475"/>
      <c r="G62" s="475"/>
      <c r="H62" s="475"/>
      <c r="I62" s="475"/>
      <c r="J62" s="475"/>
      <c r="K62" s="475"/>
      <c r="L62" s="475"/>
      <c r="M62" s="475"/>
      <c r="N62" s="475"/>
      <c r="O62" s="475"/>
      <c r="P62" s="475"/>
      <c r="Q62" s="475"/>
      <c r="R62" s="475"/>
      <c r="S62" s="740"/>
      <c r="T62" s="475"/>
      <c r="U62" s="475"/>
      <c r="V62" s="475"/>
      <c r="W62" s="475"/>
      <c r="X62" s="475"/>
      <c r="Y62" s="475"/>
      <c r="Z62" s="475"/>
      <c r="AA62" s="475"/>
      <c r="AB62" s="475"/>
      <c r="AC62" s="475"/>
      <c r="AD62" s="578">
        <f t="shared" si="0"/>
        <v>0</v>
      </c>
      <c r="AE62" s="680">
        <f t="shared" si="1"/>
        <v>0</v>
      </c>
      <c r="AF62" s="681" t="str">
        <f t="shared" si="5"/>
        <v>sell</v>
      </c>
    </row>
    <row r="63" spans="1:32" s="356" customFormat="1" hidden="1" x14ac:dyDescent="0.2">
      <c r="A63" s="602" t="s">
        <v>267</v>
      </c>
      <c r="B63" s="471" t="s">
        <v>240</v>
      </c>
      <c r="C63" s="471" t="s">
        <v>268</v>
      </c>
      <c r="D63" s="472">
        <f t="shared" si="4"/>
        <v>0</v>
      </c>
      <c r="E63" s="472"/>
      <c r="F63" s="475"/>
      <c r="G63" s="475"/>
      <c r="H63" s="475"/>
      <c r="I63" s="475"/>
      <c r="J63" s="475"/>
      <c r="K63" s="475"/>
      <c r="L63" s="475"/>
      <c r="M63" s="475"/>
      <c r="N63" s="475"/>
      <c r="O63" s="475"/>
      <c r="P63" s="475"/>
      <c r="Q63" s="475"/>
      <c r="R63" s="475"/>
      <c r="S63" s="740"/>
      <c r="T63" s="475"/>
      <c r="U63" s="475"/>
      <c r="V63" s="475"/>
      <c r="W63" s="475"/>
      <c r="X63" s="475"/>
      <c r="Y63" s="475"/>
      <c r="Z63" s="475"/>
      <c r="AA63" s="475"/>
      <c r="AB63" s="475"/>
      <c r="AC63" s="475"/>
      <c r="AD63" s="578">
        <f t="shared" si="0"/>
        <v>0</v>
      </c>
      <c r="AE63" s="680">
        <f t="shared" si="1"/>
        <v>0</v>
      </c>
      <c r="AF63" s="681" t="str">
        <f t="shared" si="5"/>
        <v>sell</v>
      </c>
    </row>
    <row r="64" spans="1:32" s="356" customFormat="1" hidden="1" x14ac:dyDescent="0.2">
      <c r="A64" s="602" t="s">
        <v>267</v>
      </c>
      <c r="B64" s="471" t="s">
        <v>240</v>
      </c>
      <c r="C64" s="471" t="s">
        <v>268</v>
      </c>
      <c r="D64" s="472">
        <f t="shared" si="4"/>
        <v>0</v>
      </c>
      <c r="E64" s="472"/>
      <c r="F64" s="475"/>
      <c r="G64" s="475"/>
      <c r="H64" s="475"/>
      <c r="I64" s="475"/>
      <c r="J64" s="475"/>
      <c r="K64" s="475"/>
      <c r="L64" s="475"/>
      <c r="M64" s="475"/>
      <c r="N64" s="475"/>
      <c r="O64" s="475"/>
      <c r="P64" s="475"/>
      <c r="Q64" s="475"/>
      <c r="R64" s="475"/>
      <c r="S64" s="740"/>
      <c r="T64" s="475"/>
      <c r="U64" s="475"/>
      <c r="V64" s="475"/>
      <c r="W64" s="475"/>
      <c r="X64" s="475"/>
      <c r="Y64" s="475"/>
      <c r="Z64" s="475"/>
      <c r="AA64" s="475"/>
      <c r="AB64" s="475"/>
      <c r="AC64" s="475"/>
      <c r="AD64" s="578">
        <f t="shared" si="0"/>
        <v>0</v>
      </c>
      <c r="AE64" s="680">
        <f t="shared" si="1"/>
        <v>0</v>
      </c>
      <c r="AF64" s="681" t="str">
        <f t="shared" si="5"/>
        <v>sell</v>
      </c>
    </row>
    <row r="65" spans="1:32" s="356" customFormat="1" hidden="1" x14ac:dyDescent="0.2">
      <c r="A65" s="602"/>
      <c r="B65" s="471"/>
      <c r="C65" s="471"/>
      <c r="D65" s="472"/>
      <c r="E65" s="472"/>
      <c r="F65" s="475"/>
      <c r="G65" s="653"/>
      <c r="H65" s="475"/>
      <c r="I65" s="475"/>
      <c r="J65" s="475"/>
      <c r="K65" s="475"/>
      <c r="L65" s="475"/>
      <c r="M65" s="475"/>
      <c r="N65" s="475"/>
      <c r="O65" s="475"/>
      <c r="P65" s="475"/>
      <c r="Q65" s="475"/>
      <c r="R65" s="475"/>
      <c r="S65" s="740"/>
      <c r="T65" s="475"/>
      <c r="U65" s="475"/>
      <c r="V65" s="475"/>
      <c r="W65" s="475"/>
      <c r="X65" s="475"/>
      <c r="Y65" s="475"/>
      <c r="Z65" s="475"/>
      <c r="AA65" s="475"/>
      <c r="AB65" s="475"/>
      <c r="AC65" s="475"/>
      <c r="AD65" s="579">
        <f t="shared" si="0"/>
        <v>0</v>
      </c>
      <c r="AE65" s="682">
        <f t="shared" si="1"/>
        <v>0</v>
      </c>
      <c r="AF65" s="683" t="str">
        <f t="shared" si="5"/>
        <v>sell</v>
      </c>
    </row>
    <row r="66" spans="1:32" s="599" customFormat="1" ht="12.75" customHeight="1" x14ac:dyDescent="0.2">
      <c r="A66" s="606"/>
      <c r="B66" s="605"/>
      <c r="C66" s="605"/>
      <c r="D66" s="610"/>
      <c r="E66" s="612"/>
      <c r="F66" s="475"/>
      <c r="G66" s="475"/>
      <c r="H66" s="475"/>
      <c r="I66" s="475"/>
      <c r="J66" s="475"/>
      <c r="K66" s="475"/>
      <c r="L66" s="475"/>
      <c r="M66" s="475"/>
      <c r="N66" s="475"/>
      <c r="O66" s="475"/>
      <c r="P66" s="475"/>
      <c r="Q66" s="475"/>
      <c r="R66" s="475"/>
      <c r="S66" s="740"/>
      <c r="T66" s="475"/>
      <c r="U66" s="475"/>
      <c r="V66" s="475"/>
      <c r="W66" s="475"/>
      <c r="X66" s="475"/>
      <c r="Y66" s="475"/>
      <c r="Z66" s="475"/>
      <c r="AA66" s="475"/>
      <c r="AB66" s="475"/>
      <c r="AC66" s="475"/>
      <c r="AD66" s="579">
        <f t="shared" ref="AD66:AD75" si="6">SUM(E66:AC66)</f>
        <v>0</v>
      </c>
      <c r="AE66" s="682">
        <f t="shared" ref="AE66:AE75" si="7">AD66*D66</f>
        <v>0</v>
      </c>
      <c r="AF66" s="683" t="str">
        <f t="shared" ref="AF66:AF75" si="8">IF(AD66&lt;0,"buy","sell")</f>
        <v>sell</v>
      </c>
    </row>
    <row r="67" spans="1:32" s="599" customFormat="1" ht="12.75" customHeight="1" x14ac:dyDescent="0.2">
      <c r="A67" s="606" t="s">
        <v>369</v>
      </c>
      <c r="B67" s="605" t="s">
        <v>240</v>
      </c>
      <c r="C67" s="605" t="s">
        <v>151</v>
      </c>
      <c r="D67" s="610"/>
      <c r="E67" s="612"/>
      <c r="F67" s="475">
        <v>178</v>
      </c>
      <c r="G67" s="475">
        <v>125</v>
      </c>
      <c r="H67" s="475">
        <v>125</v>
      </c>
      <c r="I67" s="475">
        <v>125</v>
      </c>
      <c r="J67" s="475">
        <v>125</v>
      </c>
      <c r="K67" s="475">
        <v>125</v>
      </c>
      <c r="L67" s="475">
        <v>125</v>
      </c>
      <c r="M67" s="475"/>
      <c r="N67" s="475"/>
      <c r="O67" s="475"/>
      <c r="P67" s="475"/>
      <c r="Q67" s="475"/>
      <c r="R67" s="475"/>
      <c r="S67" s="740"/>
      <c r="T67" s="475"/>
      <c r="U67" s="475"/>
      <c r="V67" s="475"/>
      <c r="W67" s="475"/>
      <c r="X67" s="475"/>
      <c r="Y67" s="475"/>
      <c r="Z67" s="475"/>
      <c r="AA67" s="475"/>
      <c r="AB67" s="475"/>
      <c r="AC67" s="475">
        <v>125</v>
      </c>
      <c r="AD67" s="579">
        <f t="shared" si="6"/>
        <v>1053</v>
      </c>
      <c r="AE67" s="682">
        <f t="shared" si="7"/>
        <v>0</v>
      </c>
      <c r="AF67" s="683" t="str">
        <f t="shared" si="8"/>
        <v>sell</v>
      </c>
    </row>
    <row r="68" spans="1:32" s="599" customFormat="1" ht="12.75" customHeight="1" x14ac:dyDescent="0.2">
      <c r="A68" s="606" t="s">
        <v>224</v>
      </c>
      <c r="B68" s="605" t="s">
        <v>240</v>
      </c>
      <c r="C68" s="605" t="s">
        <v>151</v>
      </c>
      <c r="D68" s="609"/>
      <c r="E68" s="612"/>
      <c r="F68" s="475"/>
      <c r="G68" s="475"/>
      <c r="H68" s="475"/>
      <c r="I68" s="475"/>
      <c r="J68" s="475"/>
      <c r="K68" s="475"/>
      <c r="L68" s="475"/>
      <c r="M68" s="475">
        <v>25</v>
      </c>
      <c r="N68" s="475">
        <v>25</v>
      </c>
      <c r="O68" s="475">
        <v>25</v>
      </c>
      <c r="P68" s="475">
        <v>25</v>
      </c>
      <c r="Q68" s="475">
        <v>25</v>
      </c>
      <c r="R68" s="475">
        <v>25</v>
      </c>
      <c r="S68" s="740">
        <v>25</v>
      </c>
      <c r="T68" s="475">
        <v>25</v>
      </c>
      <c r="U68" s="475">
        <v>25</v>
      </c>
      <c r="V68" s="475">
        <v>25</v>
      </c>
      <c r="W68" s="475">
        <v>25</v>
      </c>
      <c r="X68" s="475">
        <v>25</v>
      </c>
      <c r="Y68" s="475">
        <v>25</v>
      </c>
      <c r="Z68" s="475">
        <v>25</v>
      </c>
      <c r="AA68" s="475">
        <v>25</v>
      </c>
      <c r="AB68" s="475">
        <v>25</v>
      </c>
      <c r="AC68" s="475"/>
      <c r="AD68" s="579">
        <f t="shared" si="6"/>
        <v>400</v>
      </c>
      <c r="AE68" s="682">
        <f t="shared" si="7"/>
        <v>0</v>
      </c>
      <c r="AF68" s="683" t="str">
        <f t="shared" si="8"/>
        <v>sell</v>
      </c>
    </row>
    <row r="69" spans="1:32" s="599" customFormat="1" ht="12.75" customHeight="1" x14ac:dyDescent="0.2">
      <c r="A69" s="606" t="s">
        <v>224</v>
      </c>
      <c r="B69" s="605" t="s">
        <v>240</v>
      </c>
      <c r="C69" s="605" t="s">
        <v>151</v>
      </c>
      <c r="D69" s="610"/>
      <c r="E69" s="612"/>
      <c r="F69" s="475"/>
      <c r="G69" s="475"/>
      <c r="H69" s="475"/>
      <c r="I69" s="475"/>
      <c r="J69" s="475"/>
      <c r="K69" s="475"/>
      <c r="L69" s="475"/>
      <c r="M69" s="475">
        <v>25</v>
      </c>
      <c r="N69" s="475">
        <v>25</v>
      </c>
      <c r="O69" s="475">
        <v>25</v>
      </c>
      <c r="P69" s="475">
        <v>25</v>
      </c>
      <c r="Q69" s="475">
        <v>25</v>
      </c>
      <c r="R69" s="475">
        <v>25</v>
      </c>
      <c r="S69" s="740">
        <v>25</v>
      </c>
      <c r="T69" s="475">
        <v>25</v>
      </c>
      <c r="U69" s="475">
        <v>25</v>
      </c>
      <c r="V69" s="475">
        <v>25</v>
      </c>
      <c r="W69" s="475">
        <v>25</v>
      </c>
      <c r="X69" s="475">
        <v>25</v>
      </c>
      <c r="Y69" s="475">
        <v>25</v>
      </c>
      <c r="Z69" s="475">
        <v>25</v>
      </c>
      <c r="AA69" s="475">
        <v>25</v>
      </c>
      <c r="AB69" s="475">
        <v>25</v>
      </c>
      <c r="AC69" s="475"/>
      <c r="AD69" s="579">
        <f t="shared" si="6"/>
        <v>400</v>
      </c>
      <c r="AE69" s="682">
        <f t="shared" si="7"/>
        <v>0</v>
      </c>
      <c r="AF69" s="683" t="str">
        <f t="shared" si="8"/>
        <v>sell</v>
      </c>
    </row>
    <row r="70" spans="1:32" s="599" customFormat="1" ht="12.75" customHeight="1" x14ac:dyDescent="0.2">
      <c r="A70" s="606" t="s">
        <v>65</v>
      </c>
      <c r="B70" s="605" t="s">
        <v>240</v>
      </c>
      <c r="C70" s="605" t="s">
        <v>268</v>
      </c>
      <c r="D70" s="610"/>
      <c r="E70" s="612"/>
      <c r="F70" s="475"/>
      <c r="G70" s="475">
        <v>53</v>
      </c>
      <c r="H70" s="475">
        <v>53</v>
      </c>
      <c r="I70" s="475">
        <v>53</v>
      </c>
      <c r="J70" s="475">
        <v>53</v>
      </c>
      <c r="K70" s="475">
        <v>53</v>
      </c>
      <c r="L70" s="475">
        <v>53</v>
      </c>
      <c r="M70" s="475"/>
      <c r="N70" s="475"/>
      <c r="O70" s="475"/>
      <c r="P70" s="475"/>
      <c r="Q70" s="475"/>
      <c r="R70" s="475"/>
      <c r="S70" s="740"/>
      <c r="T70" s="475"/>
      <c r="U70" s="475"/>
      <c r="V70" s="475"/>
      <c r="W70" s="475"/>
      <c r="X70" s="475"/>
      <c r="Y70" s="475"/>
      <c r="Z70" s="475"/>
      <c r="AA70" s="475"/>
      <c r="AB70" s="475"/>
      <c r="AC70" s="475">
        <v>53</v>
      </c>
      <c r="AD70" s="579">
        <f t="shared" si="6"/>
        <v>371</v>
      </c>
      <c r="AE70" s="682">
        <f t="shared" si="7"/>
        <v>0</v>
      </c>
      <c r="AF70" s="683" t="str">
        <f t="shared" si="8"/>
        <v>sell</v>
      </c>
    </row>
    <row r="71" spans="1:32" s="599" customFormat="1" ht="12.75" customHeight="1" x14ac:dyDescent="0.2">
      <c r="A71" s="606" t="s">
        <v>369</v>
      </c>
      <c r="B71" s="605" t="s">
        <v>240</v>
      </c>
      <c r="C71" s="605" t="s">
        <v>268</v>
      </c>
      <c r="D71" s="609"/>
      <c r="E71" s="612"/>
      <c r="F71" s="475"/>
      <c r="G71" s="475">
        <v>25</v>
      </c>
      <c r="H71" s="475">
        <v>25</v>
      </c>
      <c r="I71" s="475">
        <v>25</v>
      </c>
      <c r="J71" s="475">
        <v>25</v>
      </c>
      <c r="K71" s="475">
        <v>25</v>
      </c>
      <c r="L71" s="475">
        <v>25</v>
      </c>
      <c r="M71" s="475"/>
      <c r="N71" s="475"/>
      <c r="O71" s="475"/>
      <c r="P71" s="475"/>
      <c r="Q71" s="475"/>
      <c r="R71" s="475"/>
      <c r="S71" s="740"/>
      <c r="T71" s="475"/>
      <c r="U71" s="475"/>
      <c r="V71" s="475"/>
      <c r="W71" s="475"/>
      <c r="X71" s="475"/>
      <c r="Y71" s="475"/>
      <c r="Z71" s="475"/>
      <c r="AA71" s="475"/>
      <c r="AB71" s="475"/>
      <c r="AC71" s="475">
        <v>25</v>
      </c>
      <c r="AD71" s="579">
        <f t="shared" si="6"/>
        <v>175</v>
      </c>
      <c r="AE71" s="682">
        <f t="shared" si="7"/>
        <v>0</v>
      </c>
      <c r="AF71" s="683" t="str">
        <f t="shared" si="8"/>
        <v>sell</v>
      </c>
    </row>
    <row r="72" spans="1:32" s="599" customFormat="1" ht="12.75" customHeight="1" x14ac:dyDescent="0.2">
      <c r="A72" s="606" t="s">
        <v>225</v>
      </c>
      <c r="B72" s="605" t="s">
        <v>240</v>
      </c>
      <c r="C72" s="605" t="s">
        <v>268</v>
      </c>
      <c r="D72" s="610"/>
      <c r="E72" s="612"/>
      <c r="F72" s="475"/>
      <c r="G72" s="475"/>
      <c r="H72" s="475"/>
      <c r="I72" s="475"/>
      <c r="J72" s="475"/>
      <c r="K72" s="475"/>
      <c r="L72" s="475"/>
      <c r="M72" s="475">
        <v>30</v>
      </c>
      <c r="N72" s="475">
        <v>30</v>
      </c>
      <c r="O72" s="475">
        <v>30</v>
      </c>
      <c r="P72" s="475">
        <v>30</v>
      </c>
      <c r="Q72" s="475">
        <v>30</v>
      </c>
      <c r="R72" s="475">
        <v>30</v>
      </c>
      <c r="S72" s="740">
        <v>30</v>
      </c>
      <c r="T72" s="475">
        <v>30</v>
      </c>
      <c r="U72" s="475">
        <v>30</v>
      </c>
      <c r="V72" s="475">
        <v>30</v>
      </c>
      <c r="W72" s="475">
        <v>30</v>
      </c>
      <c r="X72" s="475">
        <v>30</v>
      </c>
      <c r="Y72" s="475">
        <v>30</v>
      </c>
      <c r="Z72" s="475">
        <v>30</v>
      </c>
      <c r="AA72" s="475">
        <v>30</v>
      </c>
      <c r="AB72" s="475">
        <v>30</v>
      </c>
      <c r="AC72" s="475"/>
      <c r="AD72" s="579">
        <f t="shared" si="6"/>
        <v>480</v>
      </c>
      <c r="AE72" s="682">
        <f t="shared" si="7"/>
        <v>0</v>
      </c>
      <c r="AF72" s="683" t="str">
        <f t="shared" si="8"/>
        <v>sell</v>
      </c>
    </row>
    <row r="73" spans="1:32" s="599" customFormat="1" ht="12.75" customHeight="1" x14ac:dyDescent="0.2">
      <c r="A73" s="606" t="s">
        <v>377</v>
      </c>
      <c r="B73" s="605" t="s">
        <v>240</v>
      </c>
      <c r="C73" s="605" t="s">
        <v>268</v>
      </c>
      <c r="D73" s="610"/>
      <c r="E73" s="612"/>
      <c r="F73" s="475">
        <v>55</v>
      </c>
      <c r="G73" s="475"/>
      <c r="H73" s="475"/>
      <c r="I73" s="475"/>
      <c r="J73" s="475"/>
      <c r="K73" s="475"/>
      <c r="L73" s="475"/>
      <c r="M73" s="475"/>
      <c r="N73" s="475"/>
      <c r="O73" s="475"/>
      <c r="P73" s="475"/>
      <c r="Q73" s="475"/>
      <c r="R73" s="475"/>
      <c r="S73" s="740"/>
      <c r="T73" s="475"/>
      <c r="U73" s="475"/>
      <c r="V73" s="475"/>
      <c r="W73" s="475"/>
      <c r="X73" s="475"/>
      <c r="Y73" s="475"/>
      <c r="Z73" s="475"/>
      <c r="AA73" s="475"/>
      <c r="AB73" s="475"/>
      <c r="AC73" s="475"/>
      <c r="AD73" s="579">
        <f t="shared" si="6"/>
        <v>55</v>
      </c>
      <c r="AE73" s="682">
        <f t="shared" si="7"/>
        <v>0</v>
      </c>
      <c r="AF73" s="683" t="str">
        <f t="shared" si="8"/>
        <v>sell</v>
      </c>
    </row>
    <row r="74" spans="1:32" s="599" customFormat="1" ht="12.75" customHeight="1" x14ac:dyDescent="0.2">
      <c r="A74" s="606"/>
      <c r="B74" s="605"/>
      <c r="C74" s="605"/>
      <c r="D74" s="609"/>
      <c r="E74" s="612"/>
      <c r="F74" s="475"/>
      <c r="G74" s="475"/>
      <c r="H74" s="475"/>
      <c r="I74" s="475"/>
      <c r="J74" s="475"/>
      <c r="K74" s="475"/>
      <c r="L74" s="475"/>
      <c r="M74" s="475"/>
      <c r="N74" s="475"/>
      <c r="O74" s="475"/>
      <c r="P74" s="475"/>
      <c r="Q74" s="475"/>
      <c r="R74" s="475"/>
      <c r="S74" s="740"/>
      <c r="T74" s="475"/>
      <c r="U74" s="475"/>
      <c r="V74" s="475"/>
      <c r="W74" s="475"/>
      <c r="X74" s="475"/>
      <c r="Y74" s="475"/>
      <c r="Z74" s="475"/>
      <c r="AA74" s="475"/>
      <c r="AB74" s="475"/>
      <c r="AC74" s="475"/>
      <c r="AD74" s="579">
        <f t="shared" si="6"/>
        <v>0</v>
      </c>
      <c r="AE74" s="682">
        <f t="shared" si="7"/>
        <v>0</v>
      </c>
      <c r="AF74" s="683" t="str">
        <f t="shared" si="8"/>
        <v>sell</v>
      </c>
    </row>
    <row r="75" spans="1:32" s="599" customFormat="1" ht="12.75" customHeight="1" x14ac:dyDescent="0.2">
      <c r="A75" s="606"/>
      <c r="B75" s="605"/>
      <c r="C75" s="605"/>
      <c r="D75" s="610"/>
      <c r="E75" s="612"/>
      <c r="F75" s="475"/>
      <c r="G75" s="475"/>
      <c r="H75" s="475"/>
      <c r="I75" s="475"/>
      <c r="J75" s="475"/>
      <c r="K75" s="475"/>
      <c r="L75" s="475"/>
      <c r="M75" s="475"/>
      <c r="N75" s="475"/>
      <c r="O75" s="475"/>
      <c r="P75" s="475"/>
      <c r="Q75" s="475"/>
      <c r="R75" s="475"/>
      <c r="S75" s="740"/>
      <c r="T75" s="475"/>
      <c r="U75" s="475"/>
      <c r="V75" s="475"/>
      <c r="W75" s="475"/>
      <c r="X75" s="475"/>
      <c r="Y75" s="475"/>
      <c r="Z75" s="475"/>
      <c r="AA75" s="475"/>
      <c r="AB75" s="475"/>
      <c r="AC75" s="475"/>
      <c r="AD75" s="579">
        <f t="shared" si="6"/>
        <v>0</v>
      </c>
      <c r="AE75" s="682">
        <f t="shared" si="7"/>
        <v>0</v>
      </c>
      <c r="AF75" s="683" t="str">
        <f t="shared" si="8"/>
        <v>sell</v>
      </c>
    </row>
    <row r="76" spans="1:32" s="599" customFormat="1" ht="12.75" customHeight="1" x14ac:dyDescent="0.2">
      <c r="A76" s="606"/>
      <c r="B76" s="605"/>
      <c r="C76" s="605"/>
      <c r="D76" s="610"/>
      <c r="E76" s="612"/>
      <c r="F76" s="475"/>
      <c r="G76" s="475"/>
      <c r="H76" s="475"/>
      <c r="I76" s="475"/>
      <c r="J76" s="475"/>
      <c r="K76" s="475"/>
      <c r="L76" s="475"/>
      <c r="M76" s="475"/>
      <c r="N76" s="475"/>
      <c r="O76" s="475"/>
      <c r="P76" s="475"/>
      <c r="Q76" s="475"/>
      <c r="R76" s="475"/>
      <c r="S76" s="740"/>
      <c r="T76" s="475"/>
      <c r="U76" s="475"/>
      <c r="V76" s="475"/>
      <c r="W76" s="475"/>
      <c r="X76" s="475"/>
      <c r="Y76" s="475"/>
      <c r="Z76" s="475"/>
      <c r="AA76" s="475"/>
      <c r="AB76" s="475"/>
      <c r="AC76" s="475"/>
      <c r="AD76" s="579">
        <f t="shared" ref="AD76:AD88" si="9">SUM(E76:AC76)</f>
        <v>0</v>
      </c>
      <c r="AE76" s="682">
        <f t="shared" si="1"/>
        <v>0</v>
      </c>
      <c r="AF76" s="683" t="str">
        <f t="shared" si="5"/>
        <v>sell</v>
      </c>
    </row>
    <row r="77" spans="1:32" s="599" customFormat="1" ht="12.75" customHeight="1" x14ac:dyDescent="0.2">
      <c r="A77" s="606"/>
      <c r="B77" s="605"/>
      <c r="C77" s="605"/>
      <c r="D77" s="609"/>
      <c r="E77" s="612"/>
      <c r="F77" s="475"/>
      <c r="G77" s="475"/>
      <c r="H77" s="475"/>
      <c r="I77" s="475"/>
      <c r="J77" s="475"/>
      <c r="K77" s="475"/>
      <c r="L77" s="475"/>
      <c r="M77" s="475"/>
      <c r="N77" s="475"/>
      <c r="O77" s="475"/>
      <c r="P77" s="475"/>
      <c r="Q77" s="475"/>
      <c r="R77" s="475"/>
      <c r="S77" s="740"/>
      <c r="T77" s="475"/>
      <c r="U77" s="475"/>
      <c r="V77" s="475"/>
      <c r="W77" s="475"/>
      <c r="X77" s="475"/>
      <c r="Y77" s="475"/>
      <c r="Z77" s="475"/>
      <c r="AA77" s="475"/>
      <c r="AB77" s="475"/>
      <c r="AC77" s="475"/>
      <c r="AD77" s="579">
        <f t="shared" si="9"/>
        <v>0</v>
      </c>
      <c r="AE77" s="682">
        <f>AD77*D77</f>
        <v>0</v>
      </c>
      <c r="AF77" s="683" t="str">
        <f>IF(AD77&lt;0,"buy","sell")</f>
        <v>sell</v>
      </c>
    </row>
    <row r="78" spans="1:32" s="356" customFormat="1" ht="15.75" x14ac:dyDescent="0.25">
      <c r="A78" s="715" t="s">
        <v>364</v>
      </c>
      <c r="B78" s="674"/>
      <c r="C78" s="598"/>
      <c r="D78" s="674"/>
      <c r="E78" s="363"/>
      <c r="F78" s="652"/>
      <c r="G78" s="652"/>
      <c r="H78" s="652"/>
      <c r="I78" s="652"/>
      <c r="J78" s="652"/>
      <c r="K78" s="652"/>
      <c r="L78" s="652"/>
      <c r="M78" s="652"/>
      <c r="N78" s="652"/>
      <c r="O78" s="652"/>
      <c r="P78" s="652"/>
      <c r="Q78" s="652"/>
      <c r="R78" s="652"/>
      <c r="S78" s="739"/>
      <c r="T78" s="652"/>
      <c r="U78" s="652"/>
      <c r="V78" s="652"/>
      <c r="W78" s="652"/>
      <c r="X78" s="652"/>
      <c r="Y78" s="652"/>
      <c r="Z78" s="652"/>
      <c r="AA78" s="652"/>
      <c r="AB78" s="652"/>
      <c r="AC78" s="652"/>
      <c r="AD78" s="674"/>
      <c r="AE78" s="679"/>
      <c r="AF78" s="679"/>
    </row>
    <row r="79" spans="1:32" s="356" customFormat="1" x14ac:dyDescent="0.2">
      <c r="A79" s="717" t="s">
        <v>365</v>
      </c>
      <c r="B79" s="718"/>
      <c r="C79" s="718"/>
      <c r="D79" s="719"/>
      <c r="E79" s="720"/>
      <c r="F79" s="721"/>
      <c r="G79" s="721"/>
      <c r="H79" s="721"/>
      <c r="I79" s="721"/>
      <c r="J79" s="721"/>
      <c r="K79" s="721"/>
      <c r="L79" s="721"/>
      <c r="M79" s="721"/>
      <c r="N79" s="721"/>
      <c r="O79" s="721"/>
      <c r="P79" s="721"/>
      <c r="Q79" s="721"/>
      <c r="R79" s="721"/>
      <c r="S79" s="741"/>
      <c r="T79" s="721"/>
      <c r="U79" s="721"/>
      <c r="V79" s="721"/>
      <c r="W79" s="721"/>
      <c r="X79" s="721"/>
      <c r="Y79" s="721"/>
      <c r="Z79" s="721"/>
      <c r="AA79" s="721"/>
      <c r="AB79" s="721"/>
      <c r="AC79" s="721"/>
      <c r="AD79" s="579">
        <f>SUM(E79:AC79)</f>
        <v>0</v>
      </c>
      <c r="AE79" s="682">
        <f>AD79*D79</f>
        <v>0</v>
      </c>
      <c r="AF79" s="683" t="str">
        <f>IF(AD79&lt;0,"buy","sell")</f>
        <v>sell</v>
      </c>
    </row>
    <row r="80" spans="1:32" s="356" customFormat="1" x14ac:dyDescent="0.2">
      <c r="A80" s="717" t="s">
        <v>366</v>
      </c>
      <c r="B80" s="718"/>
      <c r="C80" s="718"/>
      <c r="D80" s="719"/>
      <c r="E80" s="720"/>
      <c r="F80" s="721"/>
      <c r="G80" s="721"/>
      <c r="H80" s="721"/>
      <c r="I80" s="721"/>
      <c r="J80" s="721"/>
      <c r="K80" s="721"/>
      <c r="L80" s="721"/>
      <c r="M80" s="721"/>
      <c r="N80" s="721"/>
      <c r="O80" s="721"/>
      <c r="P80" s="721"/>
      <c r="Q80" s="721"/>
      <c r="R80" s="721"/>
      <c r="S80" s="741"/>
      <c r="T80" s="721"/>
      <c r="U80" s="721"/>
      <c r="V80" s="721"/>
      <c r="W80" s="721"/>
      <c r="X80" s="721"/>
      <c r="Y80" s="721"/>
      <c r="Z80" s="721"/>
      <c r="AA80" s="721"/>
      <c r="AB80" s="721"/>
      <c r="AC80" s="721"/>
      <c r="AD80" s="579">
        <f>SUM(E80:AC80)</f>
        <v>0</v>
      </c>
      <c r="AE80" s="682">
        <f>AD80*D80</f>
        <v>0</v>
      </c>
      <c r="AF80" s="683" t="str">
        <f>IF(AD80&lt;0,"buy","sell")</f>
        <v>sell</v>
      </c>
    </row>
    <row r="81" spans="1:33" s="356" customFormat="1" ht="15.75" x14ac:dyDescent="0.25">
      <c r="A81" s="715" t="s">
        <v>362</v>
      </c>
      <c r="B81" s="674"/>
      <c r="C81" s="598"/>
      <c r="D81" s="674"/>
      <c r="E81" s="363"/>
      <c r="F81" s="652"/>
      <c r="G81" s="652"/>
      <c r="H81" s="652"/>
      <c r="I81" s="652"/>
      <c r="J81" s="652"/>
      <c r="K81" s="652"/>
      <c r="L81" s="652"/>
      <c r="M81" s="652"/>
      <c r="N81" s="652"/>
      <c r="O81" s="652"/>
      <c r="P81" s="652"/>
      <c r="Q81" s="652"/>
      <c r="R81" s="652"/>
      <c r="S81" s="739"/>
      <c r="T81" s="652"/>
      <c r="U81" s="652"/>
      <c r="V81" s="652"/>
      <c r="W81" s="652"/>
      <c r="X81" s="652"/>
      <c r="Y81" s="652"/>
      <c r="Z81" s="652"/>
      <c r="AA81" s="652"/>
      <c r="AB81" s="652"/>
      <c r="AC81" s="652"/>
      <c r="AD81" s="674"/>
      <c r="AE81" s="679"/>
      <c r="AF81" s="679"/>
    </row>
    <row r="82" spans="1:33" s="356" customFormat="1" x14ac:dyDescent="0.2">
      <c r="A82" s="607" t="s">
        <v>67</v>
      </c>
      <c r="B82" s="613" t="s">
        <v>374</v>
      </c>
      <c r="C82" s="613" t="s">
        <v>151</v>
      </c>
      <c r="D82" s="611">
        <v>17</v>
      </c>
      <c r="E82" s="604"/>
      <c r="F82" s="689"/>
      <c r="G82" s="689"/>
      <c r="H82" s="689"/>
      <c r="I82" s="689"/>
      <c r="J82" s="689"/>
      <c r="K82" s="689"/>
      <c r="L82" s="689"/>
      <c r="M82" s="689">
        <v>60</v>
      </c>
      <c r="N82" s="689"/>
      <c r="O82" s="689"/>
      <c r="P82" s="689"/>
      <c r="Q82" s="689"/>
      <c r="R82" s="689"/>
      <c r="S82" s="742"/>
      <c r="T82" s="689"/>
      <c r="U82" s="689"/>
      <c r="V82" s="689"/>
      <c r="W82" s="689"/>
      <c r="X82" s="689"/>
      <c r="Y82" s="689"/>
      <c r="Z82" s="689"/>
      <c r="AA82" s="689"/>
      <c r="AB82" s="689"/>
      <c r="AC82" s="689"/>
      <c r="AD82" s="579">
        <f t="shared" si="9"/>
        <v>60</v>
      </c>
      <c r="AE82" s="682">
        <f>AD82*D82</f>
        <v>1020</v>
      </c>
      <c r="AF82" s="683" t="str">
        <f>IF(AD82&lt;0,"buy","sell")</f>
        <v>sell</v>
      </c>
    </row>
    <row r="83" spans="1:33" s="356" customFormat="1" x14ac:dyDescent="0.2">
      <c r="A83" s="607"/>
      <c r="B83" s="613"/>
      <c r="C83" s="613"/>
      <c r="D83" s="611"/>
      <c r="E83" s="604"/>
      <c r="F83" s="689"/>
      <c r="G83" s="689"/>
      <c r="H83" s="689"/>
      <c r="I83" s="689"/>
      <c r="J83" s="689"/>
      <c r="K83" s="689"/>
      <c r="L83" s="689"/>
      <c r="M83" s="689"/>
      <c r="N83" s="689"/>
      <c r="O83" s="689"/>
      <c r="P83" s="689"/>
      <c r="Q83" s="689"/>
      <c r="R83" s="689"/>
      <c r="S83" s="742"/>
      <c r="T83" s="689"/>
      <c r="U83" s="689"/>
      <c r="V83" s="689"/>
      <c r="W83" s="689"/>
      <c r="X83" s="689"/>
      <c r="Y83" s="689"/>
      <c r="Z83" s="689"/>
      <c r="AA83" s="689"/>
      <c r="AB83" s="689"/>
      <c r="AC83" s="689"/>
      <c r="AD83" s="579">
        <f>SUM(E83:AC83)</f>
        <v>0</v>
      </c>
      <c r="AE83" s="682">
        <f>AD83*D83</f>
        <v>0</v>
      </c>
      <c r="AF83" s="683" t="str">
        <f>IF(AD83&lt;0,"buy","sell")</f>
        <v>sell</v>
      </c>
    </row>
    <row r="84" spans="1:33" s="356" customFormat="1" x14ac:dyDescent="0.2">
      <c r="A84" s="607"/>
      <c r="B84" s="613"/>
      <c r="C84" s="613"/>
      <c r="D84" s="611"/>
      <c r="E84" s="604"/>
      <c r="F84" s="689"/>
      <c r="G84" s="689"/>
      <c r="H84" s="689"/>
      <c r="I84" s="689"/>
      <c r="J84" s="689"/>
      <c r="K84" s="689"/>
      <c r="L84" s="689"/>
      <c r="M84" s="689"/>
      <c r="N84" s="689"/>
      <c r="O84" s="689"/>
      <c r="P84" s="689"/>
      <c r="Q84" s="689"/>
      <c r="R84" s="689"/>
      <c r="S84" s="742"/>
      <c r="T84" s="689"/>
      <c r="U84" s="689"/>
      <c r="V84" s="689"/>
      <c r="W84" s="689"/>
      <c r="X84" s="689"/>
      <c r="Y84" s="689"/>
      <c r="Z84" s="689"/>
      <c r="AA84" s="689"/>
      <c r="AB84" s="689"/>
      <c r="AC84" s="689"/>
      <c r="AD84" s="579">
        <f>SUM(E84:AC84)</f>
        <v>0</v>
      </c>
      <c r="AE84" s="682">
        <f>AD84*D84</f>
        <v>0</v>
      </c>
      <c r="AF84" s="683" t="str">
        <f>IF(AD84&lt;0,"buy","sell")</f>
        <v>sell</v>
      </c>
    </row>
    <row r="85" spans="1:33" s="356" customFormat="1" x14ac:dyDescent="0.2">
      <c r="A85" s="607"/>
      <c r="B85" s="613"/>
      <c r="C85" s="613"/>
      <c r="D85" s="611"/>
      <c r="E85" s="604"/>
      <c r="F85" s="689"/>
      <c r="G85" s="689"/>
      <c r="H85" s="689"/>
      <c r="I85" s="689"/>
      <c r="J85" s="689"/>
      <c r="K85" s="689"/>
      <c r="L85" s="689"/>
      <c r="M85" s="689"/>
      <c r="N85" s="689"/>
      <c r="O85" s="689"/>
      <c r="P85" s="689"/>
      <c r="Q85" s="689"/>
      <c r="R85" s="689"/>
      <c r="S85" s="742"/>
      <c r="T85" s="689"/>
      <c r="U85" s="689"/>
      <c r="V85" s="689"/>
      <c r="W85" s="689"/>
      <c r="X85" s="689"/>
      <c r="Y85" s="689"/>
      <c r="Z85" s="689"/>
      <c r="AA85" s="689"/>
      <c r="AB85" s="689"/>
      <c r="AC85" s="689"/>
      <c r="AD85" s="579">
        <f t="shared" si="9"/>
        <v>0</v>
      </c>
      <c r="AE85" s="682">
        <f>AD85*D85</f>
        <v>0</v>
      </c>
      <c r="AF85" s="683" t="str">
        <f>IF(AD85&lt;0,"buy","sell")</f>
        <v>sell</v>
      </c>
    </row>
    <row r="86" spans="1:33" s="356" customFormat="1" ht="15.75" x14ac:dyDescent="0.25">
      <c r="A86" s="715" t="s">
        <v>359</v>
      </c>
      <c r="B86" s="674"/>
      <c r="C86" s="598"/>
      <c r="D86" s="674"/>
      <c r="E86" s="363"/>
      <c r="F86" s="652"/>
      <c r="G86" s="652"/>
      <c r="H86" s="652"/>
      <c r="I86" s="652"/>
      <c r="J86" s="652"/>
      <c r="K86" s="652"/>
      <c r="L86" s="652"/>
      <c r="M86" s="652"/>
      <c r="N86" s="652"/>
      <c r="O86" s="652"/>
      <c r="P86" s="652"/>
      <c r="Q86" s="652"/>
      <c r="R86" s="652"/>
      <c r="S86" s="739"/>
      <c r="T86" s="652"/>
      <c r="U86" s="652"/>
      <c r="V86" s="652"/>
      <c r="W86" s="652"/>
      <c r="X86" s="652"/>
      <c r="Y86" s="652"/>
      <c r="Z86" s="652"/>
      <c r="AA86" s="652"/>
      <c r="AB86" s="652"/>
      <c r="AC86" s="652"/>
      <c r="AD86" s="674"/>
      <c r="AE86" s="679"/>
      <c r="AF86" s="679"/>
    </row>
    <row r="87" spans="1:33" s="356" customFormat="1" ht="12.75" customHeight="1" x14ac:dyDescent="0.2">
      <c r="A87" s="606" t="s">
        <v>65</v>
      </c>
      <c r="B87" s="605" t="s">
        <v>240</v>
      </c>
      <c r="C87" s="608" t="s">
        <v>151</v>
      </c>
      <c r="D87" s="688"/>
      <c r="E87" s="687"/>
      <c r="F87" s="475"/>
      <c r="G87" s="475"/>
      <c r="H87" s="475"/>
      <c r="I87" s="475"/>
      <c r="J87" s="475"/>
      <c r="K87" s="475"/>
      <c r="L87" s="475"/>
      <c r="M87" s="475">
        <v>-50</v>
      </c>
      <c r="N87" s="475">
        <v>-50</v>
      </c>
      <c r="O87" s="475">
        <v>-50</v>
      </c>
      <c r="P87" s="475">
        <v>-50</v>
      </c>
      <c r="Q87" s="475">
        <v>-50</v>
      </c>
      <c r="R87" s="475">
        <v>-50</v>
      </c>
      <c r="S87" s="740">
        <v>-50</v>
      </c>
      <c r="T87" s="475">
        <v>-50</v>
      </c>
      <c r="U87" s="475">
        <v>-50</v>
      </c>
      <c r="V87" s="475">
        <v>-50</v>
      </c>
      <c r="W87" s="475">
        <v>-50</v>
      </c>
      <c r="X87" s="475">
        <v>-50</v>
      </c>
      <c r="Y87" s="475">
        <v>-50</v>
      </c>
      <c r="Z87" s="475">
        <v>-50</v>
      </c>
      <c r="AA87" s="475">
        <v>-50</v>
      </c>
      <c r="AB87" s="475">
        <v>-50</v>
      </c>
      <c r="AC87" s="475"/>
      <c r="AD87" s="579">
        <f t="shared" si="9"/>
        <v>-800</v>
      </c>
      <c r="AE87" s="682">
        <f>AD87*D87</f>
        <v>0</v>
      </c>
      <c r="AF87" s="683" t="str">
        <f>IF(AD87&lt;0,"buy","sell")</f>
        <v>buy</v>
      </c>
    </row>
    <row r="88" spans="1:33" s="356" customFormat="1" x14ac:dyDescent="0.2">
      <c r="A88" s="606" t="s">
        <v>65</v>
      </c>
      <c r="B88" s="605" t="s">
        <v>240</v>
      </c>
      <c r="C88" s="608" t="s">
        <v>151</v>
      </c>
      <c r="D88" s="688"/>
      <c r="E88" s="687"/>
      <c r="F88" s="475"/>
      <c r="G88" s="475"/>
      <c r="H88" s="475"/>
      <c r="I88" s="475"/>
      <c r="J88" s="475"/>
      <c r="K88" s="475"/>
      <c r="L88" s="475"/>
      <c r="M88" s="475">
        <v>-25</v>
      </c>
      <c r="N88" s="475">
        <v>-25</v>
      </c>
      <c r="O88" s="475">
        <v>-25</v>
      </c>
      <c r="P88" s="475">
        <v>-25</v>
      </c>
      <c r="Q88" s="475">
        <v>-25</v>
      </c>
      <c r="R88" s="475">
        <v>-25</v>
      </c>
      <c r="S88" s="740">
        <v>-25</v>
      </c>
      <c r="T88" s="475">
        <v>-25</v>
      </c>
      <c r="U88" s="475">
        <v>-25</v>
      </c>
      <c r="V88" s="475">
        <v>-25</v>
      </c>
      <c r="W88" s="475">
        <v>-25</v>
      </c>
      <c r="X88" s="475">
        <v>-25</v>
      </c>
      <c r="Y88" s="475">
        <v>-25</v>
      </c>
      <c r="Z88" s="475">
        <v>-25</v>
      </c>
      <c r="AA88" s="475">
        <v>-25</v>
      </c>
      <c r="AB88" s="475">
        <v>-25</v>
      </c>
      <c r="AC88" s="475"/>
      <c r="AD88" s="579">
        <f t="shared" si="9"/>
        <v>-400</v>
      </c>
      <c r="AE88" s="682">
        <f>AD88*D88</f>
        <v>0</v>
      </c>
      <c r="AF88" s="683" t="str">
        <f>IF(AD88&lt;0,"buy","sell")</f>
        <v>buy</v>
      </c>
    </row>
    <row r="89" spans="1:33" s="356" customFormat="1" ht="15" customHeight="1" x14ac:dyDescent="0.25">
      <c r="A89" s="716" t="s">
        <v>367</v>
      </c>
      <c r="B89" s="538"/>
      <c r="C89" s="538"/>
      <c r="D89" s="538"/>
      <c r="E89" s="600"/>
      <c r="F89" s="538"/>
      <c r="G89" s="538"/>
      <c r="H89" s="538"/>
      <c r="I89" s="538"/>
      <c r="J89" s="538"/>
      <c r="K89" s="538"/>
      <c r="L89" s="538"/>
      <c r="M89" s="538"/>
      <c r="N89" s="538"/>
      <c r="O89" s="538"/>
      <c r="P89" s="538"/>
      <c r="Q89" s="538"/>
      <c r="R89" s="538"/>
      <c r="S89" s="743"/>
      <c r="T89" s="538"/>
      <c r="U89" s="538"/>
      <c r="V89" s="538"/>
      <c r="W89" s="538"/>
      <c r="X89" s="538"/>
      <c r="Y89" s="538"/>
      <c r="Z89" s="538"/>
      <c r="AA89" s="538"/>
      <c r="AB89" s="538"/>
      <c r="AC89" s="538"/>
      <c r="AD89" s="538"/>
      <c r="AE89" s="538"/>
      <c r="AF89" s="538"/>
      <c r="AG89" s="466"/>
    </row>
    <row r="90" spans="1:33" s="356" customFormat="1" ht="12.75" customHeight="1" x14ac:dyDescent="0.2">
      <c r="A90" s="722" t="s">
        <v>365</v>
      </c>
      <c r="B90" s="723"/>
      <c r="C90" s="723"/>
      <c r="D90" s="724"/>
      <c r="E90" s="725"/>
      <c r="F90" s="726"/>
      <c r="G90" s="727"/>
      <c r="H90" s="727"/>
      <c r="I90" s="727"/>
      <c r="J90" s="727"/>
      <c r="K90" s="727"/>
      <c r="L90" s="727"/>
      <c r="M90" s="727"/>
      <c r="N90" s="727"/>
      <c r="O90" s="727"/>
      <c r="P90" s="727"/>
      <c r="Q90" s="727"/>
      <c r="R90" s="727"/>
      <c r="S90" s="744"/>
      <c r="T90" s="727"/>
      <c r="U90" s="727"/>
      <c r="V90" s="727"/>
      <c r="W90" s="727"/>
      <c r="X90" s="727"/>
      <c r="Y90" s="727"/>
      <c r="Z90" s="727"/>
      <c r="AA90" s="727"/>
      <c r="AB90" s="727"/>
      <c r="AC90" s="727"/>
      <c r="AD90" s="579">
        <f>SUM(E90:AC90)</f>
        <v>0</v>
      </c>
      <c r="AE90" s="682">
        <f>AD90*D90</f>
        <v>0</v>
      </c>
      <c r="AF90" s="683" t="str">
        <f>IF(AD90&lt;0,"buy","sell")</f>
        <v>sell</v>
      </c>
    </row>
    <row r="91" spans="1:33" s="356" customFormat="1" ht="13.5" customHeight="1" x14ac:dyDescent="0.2">
      <c r="A91" s="728" t="s">
        <v>366</v>
      </c>
      <c r="B91" s="718"/>
      <c r="C91" s="718"/>
      <c r="D91" s="719"/>
      <c r="E91" s="729"/>
      <c r="F91" s="721"/>
      <c r="G91" s="730"/>
      <c r="H91" s="730"/>
      <c r="I91" s="730"/>
      <c r="J91" s="730"/>
      <c r="K91" s="730"/>
      <c r="L91" s="730"/>
      <c r="M91" s="730"/>
      <c r="N91" s="730"/>
      <c r="O91" s="730"/>
      <c r="P91" s="730"/>
      <c r="Q91" s="730"/>
      <c r="R91" s="730"/>
      <c r="S91" s="745"/>
      <c r="T91" s="730"/>
      <c r="U91" s="730"/>
      <c r="V91" s="730"/>
      <c r="W91" s="730"/>
      <c r="X91" s="730"/>
      <c r="Y91" s="730"/>
      <c r="Z91" s="730"/>
      <c r="AA91" s="730"/>
      <c r="AB91" s="730"/>
      <c r="AC91" s="730"/>
      <c r="AD91" s="579">
        <f>SUM(AA91:AC91)</f>
        <v>0</v>
      </c>
      <c r="AE91" s="682">
        <f>AD91*D91</f>
        <v>0</v>
      </c>
      <c r="AF91" s="683" t="str">
        <f>IF(AD91&lt;0,"buy","sell")</f>
        <v>sell</v>
      </c>
    </row>
    <row r="92" spans="1:33" s="356" customFormat="1" ht="15" customHeight="1" x14ac:dyDescent="0.25">
      <c r="A92" s="716" t="s">
        <v>360</v>
      </c>
      <c r="B92" s="538"/>
      <c r="C92" s="538"/>
      <c r="D92" s="538"/>
      <c r="E92" s="600"/>
      <c r="F92" s="538"/>
      <c r="G92" s="538"/>
      <c r="H92" s="538"/>
      <c r="I92" s="538"/>
      <c r="J92" s="538"/>
      <c r="K92" s="538"/>
      <c r="L92" s="538"/>
      <c r="M92" s="538"/>
      <c r="N92" s="538"/>
      <c r="O92" s="538"/>
      <c r="P92" s="538"/>
      <c r="Q92" s="538"/>
      <c r="R92" s="538"/>
      <c r="S92" s="743"/>
      <c r="T92" s="538"/>
      <c r="U92" s="538"/>
      <c r="V92" s="538"/>
      <c r="W92" s="538"/>
      <c r="X92" s="538"/>
      <c r="Y92" s="538"/>
      <c r="Z92" s="538"/>
      <c r="AA92" s="538"/>
      <c r="AB92" s="538"/>
      <c r="AC92" s="538"/>
      <c r="AD92" s="538"/>
      <c r="AE92" s="538"/>
      <c r="AF92" s="538"/>
      <c r="AG92" s="466"/>
    </row>
    <row r="93" spans="1:33" s="356" customFormat="1" ht="12.75" customHeight="1" x14ac:dyDescent="0.2">
      <c r="A93" s="617" t="s">
        <v>371</v>
      </c>
      <c r="B93" s="562" t="s">
        <v>374</v>
      </c>
      <c r="C93" s="562" t="s">
        <v>268</v>
      </c>
      <c r="D93" s="618">
        <v>24</v>
      </c>
      <c r="E93" s="563"/>
      <c r="F93" s="564"/>
      <c r="G93" s="565"/>
      <c r="H93" s="565"/>
      <c r="I93" s="565"/>
      <c r="J93" s="565"/>
      <c r="K93" s="565"/>
      <c r="L93" s="565">
        <v>-80</v>
      </c>
      <c r="M93" s="565"/>
      <c r="N93" s="565"/>
      <c r="O93" s="565"/>
      <c r="P93" s="565"/>
      <c r="Q93" s="565"/>
      <c r="R93" s="565"/>
      <c r="S93" s="746"/>
      <c r="T93" s="565"/>
      <c r="U93" s="565"/>
      <c r="V93" s="565"/>
      <c r="W93" s="565"/>
      <c r="X93" s="565"/>
      <c r="Y93" s="565"/>
      <c r="Z93" s="565"/>
      <c r="AA93" s="565"/>
      <c r="AB93" s="565"/>
      <c r="AC93" s="565"/>
      <c r="AD93" s="579">
        <f>SUM(AA93:AC93)</f>
        <v>0</v>
      </c>
      <c r="AE93" s="682">
        <f t="shared" ref="AE93:AE102" si="10">AD93*D93</f>
        <v>0</v>
      </c>
      <c r="AF93" s="683" t="str">
        <f>IF(AD93&lt;0,"buy","sell")</f>
        <v>sell</v>
      </c>
    </row>
    <row r="94" spans="1:33" s="356" customFormat="1" ht="12.75" customHeight="1" x14ac:dyDescent="0.2">
      <c r="A94" s="617" t="s">
        <v>371</v>
      </c>
      <c r="B94" s="562" t="s">
        <v>374</v>
      </c>
      <c r="C94" s="562" t="s">
        <v>268</v>
      </c>
      <c r="D94" s="618">
        <v>19</v>
      </c>
      <c r="E94" s="563"/>
      <c r="F94" s="564">
        <v>-75</v>
      </c>
      <c r="G94" s="565">
        <v>-50</v>
      </c>
      <c r="H94" s="565"/>
      <c r="I94" s="565"/>
      <c r="J94" s="565"/>
      <c r="K94" s="565"/>
      <c r="L94" s="565"/>
      <c r="M94" s="565"/>
      <c r="N94" s="565"/>
      <c r="O94" s="565"/>
      <c r="P94" s="565"/>
      <c r="Q94" s="565"/>
      <c r="R94" s="565"/>
      <c r="S94" s="746"/>
      <c r="T94" s="565"/>
      <c r="U94" s="565"/>
      <c r="V94" s="565"/>
      <c r="W94" s="565"/>
      <c r="X94" s="565"/>
      <c r="Y94" s="565"/>
      <c r="Z94" s="565"/>
      <c r="AA94" s="565"/>
      <c r="AB94" s="565"/>
      <c r="AC94" s="565"/>
      <c r="AD94" s="579">
        <f>SUM(AA94:AC94)</f>
        <v>0</v>
      </c>
      <c r="AE94" s="682">
        <f t="shared" si="10"/>
        <v>0</v>
      </c>
      <c r="AF94" s="683" t="str">
        <f>IF(AD94&lt;0,"buy","sell")</f>
        <v>sell</v>
      </c>
    </row>
    <row r="95" spans="1:33" s="356" customFormat="1" x14ac:dyDescent="0.2">
      <c r="A95" s="617" t="s">
        <v>371</v>
      </c>
      <c r="B95" s="562" t="s">
        <v>374</v>
      </c>
      <c r="C95" s="562" t="s">
        <v>268</v>
      </c>
      <c r="D95" s="618">
        <v>18</v>
      </c>
      <c r="E95" s="563"/>
      <c r="F95" s="564"/>
      <c r="G95" s="565"/>
      <c r="H95" s="565">
        <v>-30</v>
      </c>
      <c r="I95" s="565"/>
      <c r="J95" s="565"/>
      <c r="K95" s="565"/>
      <c r="L95" s="565"/>
      <c r="M95" s="565"/>
      <c r="N95" s="565"/>
      <c r="O95" s="565"/>
      <c r="P95" s="565"/>
      <c r="Q95" s="565"/>
      <c r="R95" s="565"/>
      <c r="S95" s="746"/>
      <c r="T95" s="565"/>
      <c r="U95" s="565"/>
      <c r="V95" s="565"/>
      <c r="W95" s="565"/>
      <c r="X95" s="565"/>
      <c r="Y95" s="565"/>
      <c r="Z95" s="565"/>
      <c r="AA95" s="565"/>
      <c r="AB95" s="565"/>
      <c r="AC95" s="565"/>
      <c r="AD95" s="579">
        <f>SUM(AA95:AC95)</f>
        <v>0</v>
      </c>
      <c r="AE95" s="682">
        <f t="shared" si="10"/>
        <v>0</v>
      </c>
      <c r="AF95" s="683"/>
    </row>
    <row r="96" spans="1:33" s="356" customFormat="1" x14ac:dyDescent="0.2">
      <c r="A96" s="617" t="s">
        <v>224</v>
      </c>
      <c r="B96" s="562" t="s">
        <v>374</v>
      </c>
      <c r="C96" s="562" t="s">
        <v>151</v>
      </c>
      <c r="D96" s="618">
        <v>15</v>
      </c>
      <c r="E96" s="563"/>
      <c r="F96" s="564"/>
      <c r="G96" s="565"/>
      <c r="H96" s="565"/>
      <c r="I96" s="565">
        <v>-50</v>
      </c>
      <c r="J96" s="565">
        <v>-50</v>
      </c>
      <c r="K96" s="565">
        <v>-50</v>
      </c>
      <c r="L96" s="565"/>
      <c r="M96" s="565"/>
      <c r="N96" s="565"/>
      <c r="O96" s="565"/>
      <c r="P96" s="565"/>
      <c r="Q96" s="565"/>
      <c r="R96" s="565"/>
      <c r="S96" s="746"/>
      <c r="T96" s="565"/>
      <c r="U96" s="565"/>
      <c r="V96" s="565"/>
      <c r="W96" s="565"/>
      <c r="X96" s="565"/>
      <c r="Y96" s="565"/>
      <c r="Z96" s="565"/>
      <c r="AA96" s="565"/>
      <c r="AB96" s="565"/>
      <c r="AC96" s="565"/>
      <c r="AD96" s="579">
        <f>SUM(AA96:AC96)</f>
        <v>0</v>
      </c>
      <c r="AE96" s="682">
        <f t="shared" si="10"/>
        <v>0</v>
      </c>
      <c r="AF96" s="683"/>
    </row>
    <row r="97" spans="1:33" s="356" customFormat="1" x14ac:dyDescent="0.2">
      <c r="A97" s="617" t="s">
        <v>65</v>
      </c>
      <c r="B97" s="562" t="s">
        <v>379</v>
      </c>
      <c r="C97" s="562" t="s">
        <v>151</v>
      </c>
      <c r="D97" s="618">
        <v>19</v>
      </c>
      <c r="E97" s="563"/>
      <c r="F97" s="564"/>
      <c r="G97" s="565"/>
      <c r="H97" s="565"/>
      <c r="I97" s="565"/>
      <c r="J97" s="565"/>
      <c r="K97" s="565"/>
      <c r="L97" s="565"/>
      <c r="M97" s="565"/>
      <c r="N97" s="565"/>
      <c r="O97" s="565"/>
      <c r="P97" s="565"/>
      <c r="Q97" s="565">
        <v>-20</v>
      </c>
      <c r="R97" s="565">
        <v>-20</v>
      </c>
      <c r="S97" s="565">
        <v>-20</v>
      </c>
      <c r="T97" s="565">
        <v>-20</v>
      </c>
      <c r="U97" s="565">
        <v>-20</v>
      </c>
      <c r="V97" s="565">
        <v>-20</v>
      </c>
      <c r="W97" s="565"/>
      <c r="X97" s="565"/>
      <c r="Y97" s="565"/>
      <c r="Z97" s="565"/>
      <c r="AA97" s="565"/>
      <c r="AB97" s="565"/>
      <c r="AC97" s="565"/>
      <c r="AD97" s="579">
        <f>SUM(E97:AC97)</f>
        <v>-120</v>
      </c>
      <c r="AE97" s="682">
        <f>AD97*D97</f>
        <v>-2280</v>
      </c>
      <c r="AF97" s="683" t="str">
        <f>IF(AD97&lt;0,"buy","sell")</f>
        <v>buy</v>
      </c>
    </row>
    <row r="98" spans="1:33" s="356" customFormat="1" x14ac:dyDescent="0.2">
      <c r="A98" s="617" t="s">
        <v>65</v>
      </c>
      <c r="B98" s="562" t="s">
        <v>379</v>
      </c>
      <c r="C98" s="562" t="s">
        <v>151</v>
      </c>
      <c r="D98" s="618">
        <v>26</v>
      </c>
      <c r="E98" s="563"/>
      <c r="F98" s="564"/>
      <c r="G98" s="565"/>
      <c r="H98" s="565"/>
      <c r="I98" s="565"/>
      <c r="J98" s="565"/>
      <c r="K98" s="565"/>
      <c r="L98" s="565"/>
      <c r="M98" s="565"/>
      <c r="N98" s="565"/>
      <c r="O98" s="565"/>
      <c r="P98" s="565"/>
      <c r="Q98" s="565"/>
      <c r="R98" s="565"/>
      <c r="S98" s="565"/>
      <c r="T98" s="565"/>
      <c r="U98" s="565"/>
      <c r="V98" s="565"/>
      <c r="W98" s="565">
        <v>-20</v>
      </c>
      <c r="X98" s="565"/>
      <c r="Y98" s="565"/>
      <c r="Z98" s="565"/>
      <c r="AA98" s="565"/>
      <c r="AB98" s="565"/>
      <c r="AC98" s="565"/>
      <c r="AD98" s="579">
        <f>SUM(E98:AC98)</f>
        <v>-20</v>
      </c>
      <c r="AE98" s="682">
        <f>AD98*D98</f>
        <v>-520</v>
      </c>
      <c r="AF98" s="683" t="str">
        <f>IF(AD98&lt;0,"buy","sell")</f>
        <v>buy</v>
      </c>
    </row>
    <row r="99" spans="1:33" s="356" customFormat="1" x14ac:dyDescent="0.2">
      <c r="A99" s="617" t="s">
        <v>380</v>
      </c>
      <c r="B99" s="562" t="s">
        <v>379</v>
      </c>
      <c r="C99" s="562" t="s">
        <v>268</v>
      </c>
      <c r="D99" s="618">
        <v>25</v>
      </c>
      <c r="E99" s="563"/>
      <c r="F99" s="564"/>
      <c r="G99" s="565"/>
      <c r="H99" s="565"/>
      <c r="I99" s="565"/>
      <c r="J99" s="565"/>
      <c r="K99" s="565"/>
      <c r="L99" s="565"/>
      <c r="M99" s="565"/>
      <c r="N99" s="565"/>
      <c r="O99" s="565"/>
      <c r="P99" s="565"/>
      <c r="Q99" s="565"/>
      <c r="R99" s="565"/>
      <c r="S99" s="746">
        <v>-30</v>
      </c>
      <c r="T99" s="746">
        <v>-30</v>
      </c>
      <c r="U99" s="746">
        <v>-30</v>
      </c>
      <c r="V99" s="746">
        <v>-30</v>
      </c>
      <c r="W99" s="565"/>
      <c r="X99" s="565"/>
      <c r="Y99" s="565"/>
      <c r="Z99" s="565"/>
      <c r="AA99" s="565"/>
      <c r="AB99" s="565"/>
      <c r="AC99" s="565"/>
      <c r="AD99" s="579">
        <f>SUM(E99:AC99)</f>
        <v>-120</v>
      </c>
      <c r="AE99" s="682">
        <f>AD99*D99</f>
        <v>-3000</v>
      </c>
      <c r="AF99" s="683" t="str">
        <f>IF(AD99&lt;0,"buy","sell")</f>
        <v>buy</v>
      </c>
    </row>
    <row r="100" spans="1:33" s="356" customFormat="1" x14ac:dyDescent="0.2">
      <c r="A100" s="617" t="s">
        <v>371</v>
      </c>
      <c r="B100" s="562" t="s">
        <v>379</v>
      </c>
      <c r="C100" s="562" t="s">
        <v>268</v>
      </c>
      <c r="D100" s="618">
        <v>23</v>
      </c>
      <c r="E100" s="563"/>
      <c r="F100" s="564"/>
      <c r="G100" s="565"/>
      <c r="H100" s="565"/>
      <c r="I100" s="565"/>
      <c r="J100" s="565"/>
      <c r="K100" s="565"/>
      <c r="L100" s="565"/>
      <c r="M100" s="565"/>
      <c r="N100" s="565"/>
      <c r="O100" s="565"/>
      <c r="P100" s="565"/>
      <c r="Q100" s="565"/>
      <c r="R100" s="565"/>
      <c r="S100" s="746"/>
      <c r="T100" s="746"/>
      <c r="U100" s="746"/>
      <c r="V100" s="746"/>
      <c r="W100" s="565">
        <v>-64</v>
      </c>
      <c r="X100" s="565">
        <v>-64</v>
      </c>
      <c r="Y100" s="565">
        <v>-64</v>
      </c>
      <c r="Z100" s="565">
        <v>-64</v>
      </c>
      <c r="AA100" s="565">
        <v>-25</v>
      </c>
      <c r="AB100" s="565"/>
      <c r="AC100" s="565">
        <v>-100</v>
      </c>
      <c r="AD100" s="579">
        <f>SUM(E100:AC100)</f>
        <v>-381</v>
      </c>
      <c r="AE100" s="682">
        <f>AD100*D100</f>
        <v>-8763</v>
      </c>
      <c r="AF100" s="683" t="str">
        <f>IF(AD100&lt;0,"buy","sell")</f>
        <v>buy</v>
      </c>
    </row>
    <row r="101" spans="1:33" s="356" customFormat="1" x14ac:dyDescent="0.2">
      <c r="A101" s="617" t="s">
        <v>224</v>
      </c>
      <c r="B101" s="562" t="s">
        <v>379</v>
      </c>
      <c r="C101" s="695" t="s">
        <v>151</v>
      </c>
      <c r="D101" s="618">
        <v>18</v>
      </c>
      <c r="E101" s="563"/>
      <c r="F101" s="564"/>
      <c r="G101" s="565"/>
      <c r="H101" s="565"/>
      <c r="I101" s="565"/>
      <c r="J101" s="565"/>
      <c r="K101" s="565"/>
      <c r="L101" s="565"/>
      <c r="M101" s="565"/>
      <c r="N101" s="565"/>
      <c r="O101" s="565"/>
      <c r="P101" s="565"/>
      <c r="Q101" s="565"/>
      <c r="R101" s="565"/>
      <c r="S101" s="746"/>
      <c r="T101" s="746"/>
      <c r="U101" s="746"/>
      <c r="V101" s="565"/>
      <c r="W101" s="565"/>
      <c r="X101" s="565"/>
      <c r="Y101" s="565"/>
      <c r="Z101" s="565"/>
      <c r="AA101" s="565"/>
      <c r="AB101" s="565">
        <v>-40</v>
      </c>
      <c r="AC101" s="565"/>
      <c r="AD101" s="579">
        <f>SUM(E101:AC101)</f>
        <v>-40</v>
      </c>
      <c r="AE101" s="682">
        <f t="shared" si="10"/>
        <v>-720</v>
      </c>
      <c r="AF101" s="683" t="str">
        <f>IF(AD101&lt;0,"buy","sell")</f>
        <v>buy</v>
      </c>
    </row>
    <row r="102" spans="1:33" s="356" customFormat="1" x14ac:dyDescent="0.2">
      <c r="A102" s="731" t="s">
        <v>65</v>
      </c>
      <c r="B102" s="613" t="s">
        <v>374</v>
      </c>
      <c r="C102" s="732" t="s">
        <v>151</v>
      </c>
      <c r="D102" s="611">
        <v>20</v>
      </c>
      <c r="E102" s="733"/>
      <c r="F102" s="689"/>
      <c r="G102" s="734"/>
      <c r="H102" s="734"/>
      <c r="I102" s="734"/>
      <c r="J102" s="734"/>
      <c r="K102" s="734"/>
      <c r="L102" s="734"/>
      <c r="M102" s="734"/>
      <c r="N102" s="734"/>
      <c r="O102" s="734"/>
      <c r="P102" s="734"/>
      <c r="Q102" s="734"/>
      <c r="R102" s="734"/>
      <c r="S102" s="747"/>
      <c r="T102" s="734"/>
      <c r="U102" s="734"/>
      <c r="V102" s="734"/>
      <c r="W102" s="734"/>
      <c r="X102" s="734"/>
      <c r="Y102" s="734"/>
      <c r="Z102" s="734"/>
      <c r="AA102" s="734"/>
      <c r="AB102" s="734"/>
      <c r="AC102" s="689">
        <v>-50</v>
      </c>
      <c r="AD102" s="579">
        <f>SUM(AA102:AC102)</f>
        <v>-50</v>
      </c>
      <c r="AE102" s="682">
        <f t="shared" si="10"/>
        <v>-1000</v>
      </c>
      <c r="AF102" s="683"/>
    </row>
    <row r="103" spans="1:33" s="356" customFormat="1" ht="15" customHeight="1" x14ac:dyDescent="0.25">
      <c r="A103" s="716" t="s">
        <v>363</v>
      </c>
      <c r="B103" s="538"/>
      <c r="C103" s="538"/>
      <c r="D103" s="538"/>
      <c r="E103" s="600"/>
      <c r="F103" s="538"/>
      <c r="G103" s="538"/>
      <c r="H103" s="538"/>
      <c r="I103" s="538"/>
      <c r="J103" s="538"/>
      <c r="K103" s="538"/>
      <c r="L103" s="538"/>
      <c r="M103" s="538"/>
      <c r="N103" s="538"/>
      <c r="O103" s="538"/>
      <c r="P103" s="538"/>
      <c r="Q103" s="538"/>
      <c r="R103" s="538"/>
      <c r="S103" s="538"/>
      <c r="T103" s="538"/>
      <c r="U103" s="538"/>
      <c r="V103" s="538"/>
      <c r="W103" s="538"/>
      <c r="X103" s="538"/>
      <c r="Y103" s="538"/>
      <c r="Z103" s="538"/>
      <c r="AA103" s="538"/>
      <c r="AB103" s="538"/>
      <c r="AC103" s="538"/>
      <c r="AD103" s="538"/>
      <c r="AE103" s="538"/>
      <c r="AF103" s="538"/>
      <c r="AG103" s="466"/>
    </row>
    <row r="104" spans="1:33" s="356" customFormat="1" x14ac:dyDescent="0.2">
      <c r="A104" s="543"/>
      <c r="B104" s="551"/>
      <c r="C104" s="551"/>
      <c r="D104" s="694"/>
      <c r="E104" s="544"/>
      <c r="F104" s="545"/>
      <c r="G104" s="546"/>
      <c r="H104" s="545"/>
      <c r="I104" s="545"/>
      <c r="J104" s="545"/>
      <c r="K104" s="545"/>
      <c r="L104" s="545"/>
      <c r="M104" s="545"/>
      <c r="N104" s="545"/>
      <c r="O104" s="545"/>
      <c r="P104" s="545"/>
      <c r="Q104" s="545"/>
      <c r="R104" s="545"/>
      <c r="S104" s="545"/>
      <c r="T104" s="545"/>
      <c r="U104" s="545"/>
      <c r="V104" s="545"/>
      <c r="W104" s="545"/>
      <c r="X104" s="545"/>
      <c r="Y104" s="545"/>
      <c r="Z104" s="545"/>
      <c r="AA104" s="545"/>
      <c r="AB104" s="545"/>
      <c r="AC104" s="547"/>
      <c r="AD104" s="579">
        <f>SUM(AA104:AC104)</f>
        <v>0</v>
      </c>
      <c r="AE104" s="682">
        <f>AD104*D104</f>
        <v>0</v>
      </c>
      <c r="AF104" s="683" t="str">
        <f>IF(AD104&lt;0,"buy","sell")</f>
        <v>sell</v>
      </c>
    </row>
    <row r="105" spans="1:33" s="356" customFormat="1" x14ac:dyDescent="0.2">
      <c r="A105" s="543" t="s">
        <v>67</v>
      </c>
      <c r="B105" s="551" t="s">
        <v>379</v>
      </c>
      <c r="C105" s="551" t="s">
        <v>151</v>
      </c>
      <c r="D105" s="694">
        <v>10</v>
      </c>
      <c r="E105" s="544"/>
      <c r="F105" s="545"/>
      <c r="G105" s="546"/>
      <c r="H105" s="545"/>
      <c r="I105" s="545"/>
      <c r="J105" s="545"/>
      <c r="K105" s="545"/>
      <c r="L105" s="545"/>
      <c r="M105" s="545"/>
      <c r="N105" s="545"/>
      <c r="O105" s="545"/>
      <c r="P105" s="545"/>
      <c r="Q105" s="545"/>
      <c r="R105" s="545"/>
      <c r="S105" s="545"/>
      <c r="T105" s="545">
        <v>-25</v>
      </c>
      <c r="U105" s="545">
        <v>-25</v>
      </c>
      <c r="V105" s="545">
        <v>-25</v>
      </c>
      <c r="W105" s="545">
        <v>-25</v>
      </c>
      <c r="X105" s="545">
        <v>-50</v>
      </c>
      <c r="Y105" s="545">
        <v>-50</v>
      </c>
      <c r="Z105" s="545">
        <v>-50</v>
      </c>
      <c r="AA105" s="545">
        <v>-50</v>
      </c>
      <c r="AB105" s="545">
        <v>-50</v>
      </c>
      <c r="AC105" s="545">
        <v>-50</v>
      </c>
      <c r="AD105" s="579">
        <f>SUM(E105:AC105)</f>
        <v>-400</v>
      </c>
      <c r="AE105" s="682">
        <f>AD105*D105</f>
        <v>-4000</v>
      </c>
      <c r="AF105" s="683" t="str">
        <f>IF(AD105&lt;0,"buy","sell")</f>
        <v>buy</v>
      </c>
    </row>
    <row r="106" spans="1:33" s="356" customFormat="1" x14ac:dyDescent="0.2">
      <c r="A106" s="543"/>
      <c r="B106" s="551"/>
      <c r="C106" s="551"/>
      <c r="D106" s="694"/>
      <c r="E106" s="544"/>
      <c r="F106" s="545"/>
      <c r="G106" s="546"/>
      <c r="H106" s="545"/>
      <c r="I106" s="545"/>
      <c r="J106" s="545"/>
      <c r="K106" s="545"/>
      <c r="L106" s="545"/>
      <c r="M106" s="545"/>
      <c r="N106" s="545"/>
      <c r="O106" s="545"/>
      <c r="P106" s="545"/>
      <c r="Q106" s="545"/>
      <c r="R106" s="545"/>
      <c r="S106" s="545"/>
      <c r="T106" s="545"/>
      <c r="U106" s="545"/>
      <c r="V106" s="545"/>
      <c r="W106" s="545"/>
      <c r="X106" s="545"/>
      <c r="Y106" s="545"/>
      <c r="Z106" s="545"/>
      <c r="AA106" s="545"/>
      <c r="AB106" s="545"/>
      <c r="AC106" s="547"/>
      <c r="AD106" s="579">
        <f>SUM(AA106:AC106)</f>
        <v>0</v>
      </c>
      <c r="AE106" s="682">
        <f>AD106*D106</f>
        <v>0</v>
      </c>
      <c r="AF106" s="683" t="str">
        <f>IF(AD106&lt;0,"buy","sell")</f>
        <v>sell</v>
      </c>
    </row>
    <row r="107" spans="1:33" s="356" customFormat="1" x14ac:dyDescent="0.2">
      <c r="A107" s="543"/>
      <c r="B107" s="551"/>
      <c r="C107" s="551"/>
      <c r="D107" s="544"/>
      <c r="E107" s="544"/>
      <c r="F107" s="545"/>
      <c r="G107" s="546"/>
      <c r="H107" s="545"/>
      <c r="I107" s="545"/>
      <c r="J107" s="545"/>
      <c r="K107" s="545"/>
      <c r="L107" s="545"/>
      <c r="M107" s="545"/>
      <c r="N107" s="545"/>
      <c r="O107" s="545"/>
      <c r="P107" s="545"/>
      <c r="Q107" s="545"/>
      <c r="R107" s="545"/>
      <c r="S107" s="545"/>
      <c r="T107" s="545"/>
      <c r="U107" s="548"/>
      <c r="V107" s="545"/>
      <c r="W107" s="545"/>
      <c r="X107" s="545"/>
      <c r="Y107" s="545"/>
      <c r="Z107" s="545"/>
      <c r="AA107" s="545"/>
      <c r="AB107" s="545"/>
      <c r="AC107" s="547"/>
      <c r="AD107" s="569">
        <f>SUM(F112:AC112)</f>
        <v>0</v>
      </c>
      <c r="AE107" s="570">
        <f>AD107*D107</f>
        <v>0</v>
      </c>
      <c r="AF107" s="526" t="str">
        <f>IF(AD107&lt;0,"buy","sell")</f>
        <v>sell</v>
      </c>
    </row>
    <row r="108" spans="1:33" s="356" customFormat="1" x14ac:dyDescent="0.2">
      <c r="A108" s="549" t="s">
        <v>206</v>
      </c>
      <c r="B108" s="480"/>
      <c r="C108" s="480"/>
      <c r="D108" s="480"/>
      <c r="E108" s="480"/>
      <c r="F108" s="480"/>
      <c r="G108" s="480"/>
      <c r="H108" s="480"/>
      <c r="I108" s="480"/>
      <c r="J108" s="480"/>
      <c r="K108" s="480"/>
      <c r="L108" s="480"/>
      <c r="M108" s="480"/>
      <c r="N108" s="480"/>
      <c r="O108" s="480"/>
      <c r="P108" s="480"/>
      <c r="Q108" s="480"/>
      <c r="R108" s="480"/>
      <c r="S108" s="480"/>
      <c r="T108" s="480"/>
      <c r="U108" s="480"/>
      <c r="V108" s="480"/>
      <c r="W108" s="480"/>
      <c r="X108" s="480"/>
      <c r="Y108" s="480"/>
      <c r="Z108" s="480"/>
      <c r="AA108" s="480"/>
      <c r="AB108" s="480"/>
      <c r="AC108" s="480"/>
      <c r="AD108" s="480"/>
      <c r="AE108" s="480"/>
      <c r="AF108" s="480"/>
    </row>
    <row r="109" spans="1:33" s="356" customFormat="1" x14ac:dyDescent="0.2">
      <c r="B109" s="364"/>
      <c r="C109" s="364"/>
      <c r="D109" s="365"/>
      <c r="E109" s="365"/>
      <c r="F109" s="364"/>
      <c r="G109" s="366"/>
      <c r="H109" s="366"/>
      <c r="I109" s="366"/>
      <c r="J109" s="366"/>
      <c r="K109" s="366"/>
      <c r="L109" s="366"/>
      <c r="M109" s="366"/>
      <c r="N109" s="366"/>
      <c r="O109" s="366"/>
      <c r="P109" s="366"/>
      <c r="Q109" s="366"/>
      <c r="R109" s="366"/>
      <c r="S109" s="366"/>
      <c r="T109" s="366"/>
      <c r="U109" s="366"/>
      <c r="V109" s="366"/>
      <c r="W109" s="366"/>
      <c r="X109" s="366"/>
      <c r="Y109" s="366"/>
      <c r="Z109" s="440"/>
      <c r="AA109" s="440"/>
      <c r="AB109" s="440"/>
      <c r="AC109" s="529"/>
      <c r="AD109" s="457"/>
      <c r="AE109" s="458"/>
      <c r="AF109" s="440"/>
    </row>
    <row r="110" spans="1:33" s="356" customFormat="1" ht="18" x14ac:dyDescent="0.25">
      <c r="A110" s="713" t="s">
        <v>368</v>
      </c>
      <c r="B110" s="431"/>
      <c r="C110" s="539"/>
      <c r="D110" s="432"/>
      <c r="E110" s="432"/>
      <c r="F110" s="433"/>
      <c r="G110" s="434"/>
      <c r="H110" s="370"/>
      <c r="I110" s="370"/>
      <c r="J110" s="370"/>
      <c r="K110" s="371"/>
      <c r="L110" s="370"/>
      <c r="M110" s="370"/>
      <c r="N110" s="370"/>
      <c r="O110" s="370"/>
      <c r="P110" s="370"/>
      <c r="Q110" s="370"/>
      <c r="R110" s="370"/>
      <c r="S110" s="370" t="s">
        <v>15</v>
      </c>
      <c r="T110" s="370"/>
      <c r="U110" s="370"/>
      <c r="V110" s="370"/>
      <c r="W110" s="370"/>
      <c r="X110" s="370"/>
      <c r="Y110" s="370"/>
      <c r="Z110" s="372"/>
      <c r="AA110" s="372"/>
      <c r="AB110" s="372"/>
      <c r="AC110" s="530"/>
      <c r="AD110" s="457"/>
      <c r="AE110" s="458"/>
      <c r="AF110" s="372"/>
    </row>
    <row r="111" spans="1:33" s="356" customFormat="1" x14ac:dyDescent="0.2">
      <c r="A111" s="435"/>
      <c r="B111" s="436"/>
      <c r="C111" s="436"/>
      <c r="D111" s="432"/>
      <c r="E111" s="432"/>
      <c r="F111" s="434"/>
      <c r="G111" s="434"/>
      <c r="H111" s="370"/>
      <c r="I111" s="370"/>
      <c r="J111" s="370"/>
      <c r="K111" s="373"/>
      <c r="L111" s="373"/>
      <c r="M111" s="370"/>
      <c r="N111" s="370"/>
      <c r="O111" s="370"/>
      <c r="P111" s="370"/>
      <c r="Q111" s="370"/>
      <c r="R111" s="370"/>
      <c r="S111" s="370"/>
      <c r="T111" s="370"/>
      <c r="U111" s="370"/>
      <c r="V111" s="370"/>
      <c r="W111" s="370"/>
      <c r="X111" s="370"/>
      <c r="Y111" s="370"/>
      <c r="Z111" s="372"/>
      <c r="AA111" s="372"/>
      <c r="AB111" s="372"/>
      <c r="AC111" s="530"/>
      <c r="AD111" s="457"/>
      <c r="AE111" s="458"/>
      <c r="AF111" s="372"/>
    </row>
    <row r="112" spans="1:33" s="356" customFormat="1" ht="18" x14ac:dyDescent="0.25">
      <c r="A112" s="438"/>
      <c r="B112" s="439"/>
      <c r="C112" s="439"/>
      <c r="D112" s="439"/>
      <c r="E112" s="439"/>
      <c r="F112" s="711"/>
      <c r="G112" s="712"/>
      <c r="H112" s="370"/>
      <c r="I112" s="370"/>
      <c r="J112" s="370"/>
      <c r="K112" s="373"/>
      <c r="L112" s="371"/>
      <c r="M112" s="370"/>
      <c r="N112" s="370"/>
      <c r="O112" s="370"/>
      <c r="P112" s="370"/>
      <c r="Q112" s="370"/>
      <c r="R112" s="370"/>
      <c r="S112" s="370"/>
      <c r="T112" s="370"/>
      <c r="U112" s="370"/>
      <c r="V112" s="370"/>
      <c r="W112" s="370"/>
      <c r="X112" s="370"/>
      <c r="Y112" s="370"/>
      <c r="AA112" s="372"/>
      <c r="AB112" s="372"/>
      <c r="AC112" s="530"/>
      <c r="AD112" s="457"/>
      <c r="AE112" s="458"/>
      <c r="AF112" s="372"/>
    </row>
    <row r="113" spans="1:33" s="356" customFormat="1" ht="18" x14ac:dyDescent="0.25">
      <c r="A113" s="438"/>
      <c r="B113" s="439"/>
      <c r="C113" s="439"/>
      <c r="D113" s="567"/>
      <c r="E113" s="439"/>
      <c r="F113" s="437"/>
      <c r="G113" s="434"/>
      <c r="H113" s="370"/>
      <c r="I113" s="370"/>
      <c r="J113" s="370"/>
      <c r="K113" s="373"/>
      <c r="L113" s="371"/>
      <c r="M113" s="370"/>
      <c r="N113" s="370"/>
      <c r="O113" s="370"/>
      <c r="P113" s="370"/>
      <c r="Q113" s="370"/>
      <c r="R113" s="370"/>
      <c r="S113" s="370"/>
      <c r="T113" s="370"/>
      <c r="U113" s="370"/>
      <c r="V113" s="370"/>
      <c r="W113" s="370"/>
      <c r="X113" s="370"/>
      <c r="Y113" s="370"/>
      <c r="Z113" s="372" t="s">
        <v>207</v>
      </c>
      <c r="AA113" s="372"/>
      <c r="AB113" s="372"/>
      <c r="AC113" s="531"/>
      <c r="AD113" s="453"/>
      <c r="AE113" s="454"/>
      <c r="AF113" s="372"/>
    </row>
    <row r="114" spans="1:33" x14ac:dyDescent="0.2">
      <c r="A114" s="436"/>
      <c r="B114" s="436"/>
      <c r="C114" s="440"/>
      <c r="D114" s="571"/>
      <c r="E114" s="528"/>
      <c r="F114" s="577"/>
      <c r="G114" s="550"/>
      <c r="K114" s="373"/>
      <c r="M114" s="370"/>
      <c r="N114" s="370"/>
      <c r="Z114" s="372"/>
      <c r="AA114" s="532"/>
      <c r="AB114" s="532"/>
      <c r="AC114" s="531"/>
      <c r="AD114" s="402"/>
      <c r="AE114" s="402"/>
      <c r="AF114" s="532"/>
      <c r="AG114" s="356"/>
    </row>
    <row r="115" spans="1:33" s="356" customFormat="1" x14ac:dyDescent="0.2">
      <c r="A115" s="434"/>
      <c r="B115" s="434"/>
      <c r="C115" s="440"/>
      <c r="D115" s="571"/>
      <c r="E115" s="485"/>
      <c r="F115" s="577"/>
      <c r="G115" s="550"/>
      <c r="H115" s="370"/>
      <c r="I115" s="370"/>
      <c r="J115" s="370"/>
      <c r="K115" s="373"/>
      <c r="L115" s="370"/>
      <c r="M115" s="370"/>
      <c r="N115" s="370"/>
      <c r="O115" s="370"/>
      <c r="P115" s="370"/>
      <c r="Q115" s="370"/>
      <c r="R115" s="370"/>
      <c r="S115" s="370"/>
      <c r="T115" s="370"/>
      <c r="U115" s="370"/>
      <c r="V115" s="370"/>
      <c r="W115" s="370"/>
      <c r="X115" s="370"/>
      <c r="Y115" s="370"/>
      <c r="Z115" s="532" t="s">
        <v>261</v>
      </c>
      <c r="AA115" s="532"/>
      <c r="AB115" s="532"/>
      <c r="AC115" s="531"/>
      <c r="AD115" s="473">
        <f>SUM(AD16:AD78)+SUM(AD81:AD86)</f>
        <v>2994</v>
      </c>
      <c r="AE115" s="473">
        <f>SUM(AE16:AE78)+SUM(AE81:AE86)</f>
        <v>1020</v>
      </c>
      <c r="AF115" s="532"/>
    </row>
    <row r="116" spans="1:33" s="356" customFormat="1" x14ac:dyDescent="0.2">
      <c r="A116" s="436"/>
      <c r="B116" s="436"/>
      <c r="C116" s="440"/>
      <c r="D116" s="571"/>
      <c r="E116" s="485"/>
      <c r="F116" s="577"/>
      <c r="G116" s="550"/>
      <c r="H116" s="370"/>
      <c r="I116" s="370"/>
      <c r="J116" s="370"/>
      <c r="K116" s="373"/>
      <c r="L116" s="370"/>
      <c r="M116" s="370"/>
      <c r="N116" s="370"/>
      <c r="O116" s="370"/>
      <c r="P116" s="370"/>
      <c r="Q116" s="370"/>
      <c r="R116" s="370"/>
      <c r="S116" s="370"/>
      <c r="T116" s="370"/>
      <c r="U116" s="370"/>
      <c r="V116" s="370"/>
      <c r="W116" s="370"/>
      <c r="X116" s="370"/>
      <c r="Y116" s="370"/>
      <c r="Z116" s="532" t="s">
        <v>262</v>
      </c>
      <c r="AA116" s="532"/>
      <c r="AB116" s="532"/>
      <c r="AC116" s="533"/>
      <c r="AD116" s="473">
        <f>SUM(AD86:AD89)+SUM(AD92:AD103)</f>
        <v>-1931</v>
      </c>
      <c r="AE116" s="473">
        <f>SUM(AE86:AE89)+SUM(AE92:AE103)</f>
        <v>-16283</v>
      </c>
      <c r="AF116" s="532"/>
    </row>
    <row r="117" spans="1:33" s="356" customFormat="1" x14ac:dyDescent="0.2">
      <c r="A117" s="434"/>
      <c r="B117" s="434"/>
      <c r="C117" s="440"/>
      <c r="D117" s="571"/>
      <c r="E117" s="485"/>
      <c r="F117" s="577"/>
      <c r="G117" s="550"/>
      <c r="H117" s="377"/>
      <c r="I117" s="377"/>
      <c r="J117" s="377"/>
      <c r="K117" s="378"/>
      <c r="L117" s="377"/>
      <c r="M117" s="370"/>
      <c r="N117" s="370"/>
      <c r="O117" s="377"/>
      <c r="P117" s="377"/>
      <c r="Q117" s="377"/>
      <c r="R117" s="377"/>
      <c r="S117" s="377"/>
      <c r="T117" s="377"/>
      <c r="U117" s="377"/>
      <c r="V117" s="377"/>
      <c r="W117" s="377"/>
      <c r="X117" s="377"/>
      <c r="Y117" s="377"/>
      <c r="Z117" s="384"/>
      <c r="AA117" s="384"/>
      <c r="AB117" s="384"/>
      <c r="AC117" s="466"/>
      <c r="AF117" s="384"/>
    </row>
    <row r="118" spans="1:33" s="356" customFormat="1" x14ac:dyDescent="0.2">
      <c r="A118" s="436"/>
      <c r="B118" s="436"/>
      <c r="C118" s="440"/>
      <c r="D118" s="571"/>
      <c r="E118" s="485"/>
      <c r="F118" s="577"/>
      <c r="G118" s="550"/>
      <c r="H118" s="377"/>
      <c r="O118" s="370"/>
      <c r="P118" s="370"/>
      <c r="Q118" s="381"/>
      <c r="R118" s="381"/>
      <c r="S118" s="381"/>
      <c r="T118" s="381"/>
      <c r="U118" s="381"/>
      <c r="V118" s="381"/>
      <c r="W118" s="381"/>
      <c r="X118" s="381"/>
      <c r="Y118" s="381"/>
      <c r="Z118" s="534" t="s">
        <v>269</v>
      </c>
      <c r="AA118" s="534"/>
      <c r="AB118" s="534"/>
      <c r="AC118" s="535"/>
      <c r="AD118" s="477"/>
      <c r="AE118" s="478"/>
      <c r="AF118" s="402"/>
    </row>
    <row r="119" spans="1:33" s="356" customFormat="1" x14ac:dyDescent="0.2">
      <c r="A119" s="434"/>
      <c r="B119" s="434"/>
      <c r="C119" s="440"/>
      <c r="D119" s="571"/>
      <c r="E119" s="485"/>
      <c r="F119" s="577"/>
      <c r="G119" s="550"/>
      <c r="H119" s="370"/>
      <c r="O119" s="370"/>
      <c r="P119" s="370"/>
      <c r="Q119" s="370"/>
      <c r="R119" s="370"/>
      <c r="S119" s="370"/>
      <c r="T119" s="370"/>
      <c r="U119" s="370"/>
      <c r="V119" s="370"/>
      <c r="W119" s="370"/>
      <c r="X119" s="370"/>
      <c r="Y119" s="370"/>
      <c r="Z119" s="534"/>
      <c r="AA119" s="534"/>
      <c r="AB119" s="534"/>
      <c r="AC119" s="535"/>
      <c r="AD119" s="477"/>
      <c r="AE119" s="478"/>
      <c r="AF119" s="402"/>
    </row>
    <row r="120" spans="1:33" s="356" customFormat="1" x14ac:dyDescent="0.2">
      <c r="A120" s="436"/>
      <c r="B120" s="436"/>
      <c r="C120" s="440"/>
      <c r="D120" s="571"/>
      <c r="E120" s="485"/>
      <c r="F120" s="577"/>
      <c r="G120" s="550"/>
      <c r="H120" s="382"/>
      <c r="O120" s="370"/>
      <c r="P120" s="370"/>
      <c r="Q120" s="382"/>
      <c r="R120" s="382"/>
      <c r="S120" s="382"/>
      <c r="T120" s="382"/>
      <c r="U120" s="382"/>
      <c r="V120" s="382"/>
      <c r="W120" s="382"/>
      <c r="X120" s="382"/>
      <c r="Y120" s="382"/>
      <c r="Z120" s="534" t="s">
        <v>262</v>
      </c>
      <c r="AA120" s="534"/>
      <c r="AB120" s="534"/>
      <c r="AC120" s="535"/>
      <c r="AD120" s="479">
        <f>SUM(AD106:AD108)</f>
        <v>0</v>
      </c>
      <c r="AE120" s="479">
        <f>SUM(AE106:AE108)</f>
        <v>0</v>
      </c>
      <c r="AF120" s="402"/>
    </row>
    <row r="121" spans="1:33" s="356" customFormat="1" x14ac:dyDescent="0.2">
      <c r="A121" s="434"/>
      <c r="B121" s="434"/>
      <c r="C121" s="440"/>
      <c r="D121" s="571"/>
      <c r="E121" s="485"/>
      <c r="F121" s="577"/>
      <c r="G121" s="550"/>
      <c r="H121" s="382"/>
      <c r="O121" s="370"/>
      <c r="P121" s="370"/>
      <c r="Q121" s="382"/>
      <c r="R121" s="382"/>
      <c r="S121" s="382"/>
      <c r="T121" s="382"/>
      <c r="U121" s="382"/>
      <c r="V121" s="382"/>
      <c r="W121" s="382"/>
      <c r="X121" s="382"/>
      <c r="Y121" s="382"/>
      <c r="Z121" s="402"/>
      <c r="AA121" s="402"/>
      <c r="AB121" s="402"/>
      <c r="AC121" s="467"/>
      <c r="AD121" s="402"/>
      <c r="AE121" s="402"/>
      <c r="AF121" s="402"/>
    </row>
    <row r="122" spans="1:33" s="356" customFormat="1" x14ac:dyDescent="0.2">
      <c r="A122" s="436"/>
      <c r="B122" s="436"/>
      <c r="C122" s="440"/>
      <c r="D122" s="571"/>
      <c r="E122" s="485"/>
      <c r="F122" s="577"/>
      <c r="G122" s="550"/>
      <c r="H122" s="370"/>
      <c r="O122" s="370"/>
      <c r="P122" s="370"/>
      <c r="Q122" s="370"/>
      <c r="R122" s="370"/>
      <c r="S122" s="370"/>
      <c r="T122" s="370"/>
      <c r="U122" s="370"/>
      <c r="V122" s="370"/>
      <c r="W122" s="370"/>
      <c r="X122" s="370"/>
      <c r="Y122" s="370"/>
      <c r="Z122" s="402"/>
      <c r="AA122" s="402"/>
      <c r="AB122" s="402"/>
      <c r="AC122" s="467"/>
      <c r="AD122" s="402"/>
      <c r="AE122" s="402"/>
      <c r="AF122" s="402"/>
    </row>
    <row r="123" spans="1:33" s="402" customFormat="1" x14ac:dyDescent="0.2">
      <c r="A123" s="434"/>
      <c r="B123" s="434"/>
      <c r="C123" s="440"/>
      <c r="D123" s="571"/>
      <c r="E123" s="485"/>
      <c r="F123" s="577"/>
      <c r="G123" s="550"/>
      <c r="H123" s="370"/>
      <c r="I123" s="356"/>
      <c r="J123" s="356"/>
      <c r="K123" s="356"/>
      <c r="L123" s="356"/>
      <c r="M123" s="356"/>
      <c r="N123" s="356"/>
      <c r="O123" s="370"/>
      <c r="P123" s="370"/>
      <c r="Q123" s="370"/>
      <c r="R123" s="370"/>
      <c r="S123" s="370"/>
      <c r="T123" s="370"/>
      <c r="U123" s="370"/>
      <c r="V123" s="370"/>
      <c r="W123" s="370"/>
      <c r="X123" s="370"/>
      <c r="Y123" s="370"/>
      <c r="AC123" s="467"/>
      <c r="AG123" s="356"/>
    </row>
    <row r="124" spans="1:33" s="402" customFormat="1" ht="18" x14ac:dyDescent="0.25">
      <c r="A124" s="713" t="s">
        <v>358</v>
      </c>
      <c r="B124" s="436"/>
      <c r="C124" s="440"/>
      <c r="D124" s="571"/>
      <c r="E124" s="485"/>
      <c r="F124" s="577"/>
      <c r="G124" s="550"/>
      <c r="H124" s="383"/>
      <c r="I124" s="404"/>
      <c r="J124" s="404"/>
      <c r="K124" s="404"/>
      <c r="L124" s="404"/>
      <c r="M124" s="404"/>
      <c r="N124" s="404"/>
      <c r="O124" s="383"/>
      <c r="P124" s="383"/>
      <c r="Q124" s="383"/>
      <c r="R124" s="383"/>
      <c r="S124" s="383"/>
      <c r="T124" s="383"/>
      <c r="U124" s="383"/>
      <c r="V124" s="383"/>
      <c r="W124" s="383"/>
      <c r="X124" s="383"/>
      <c r="Y124" s="383"/>
      <c r="AC124" s="467"/>
      <c r="AG124" s="370"/>
    </row>
    <row r="125" spans="1:33" s="402" customFormat="1" x14ac:dyDescent="0.2">
      <c r="A125" s="434"/>
      <c r="B125" s="434"/>
      <c r="C125" s="440"/>
      <c r="D125" s="571"/>
      <c r="E125" s="485"/>
      <c r="F125" s="577"/>
      <c r="G125" s="550"/>
      <c r="H125" s="384"/>
      <c r="I125" s="356"/>
      <c r="J125" s="356"/>
      <c r="K125" s="356"/>
      <c r="L125" s="356"/>
      <c r="M125" s="356"/>
      <c r="N125" s="356"/>
      <c r="O125" s="384"/>
      <c r="P125" s="384"/>
      <c r="Q125" s="384"/>
      <c r="R125" s="384"/>
      <c r="S125" s="384"/>
      <c r="T125" s="384"/>
      <c r="U125" s="384"/>
      <c r="V125" s="384"/>
      <c r="W125" s="384"/>
      <c r="X125" s="384"/>
      <c r="Y125" s="384"/>
      <c r="AC125" s="467"/>
      <c r="AG125" s="356"/>
    </row>
    <row r="126" spans="1:33" s="402" customFormat="1" x14ac:dyDescent="0.2">
      <c r="A126" s="436"/>
      <c r="B126" s="436"/>
      <c r="C126" s="440"/>
      <c r="D126" s="571"/>
      <c r="E126" s="485"/>
      <c r="F126" s="577"/>
      <c r="G126" s="550"/>
      <c r="H126" s="384"/>
      <c r="I126" s="356"/>
      <c r="J126" s="356"/>
      <c r="K126" s="356"/>
      <c r="L126" s="356"/>
      <c r="M126" s="356"/>
      <c r="N126" s="356"/>
      <c r="O126" s="384"/>
      <c r="P126" s="384"/>
      <c r="Q126" s="384"/>
      <c r="R126" s="384"/>
      <c r="S126" s="384"/>
      <c r="T126" s="384"/>
      <c r="U126" s="384"/>
      <c r="V126" s="384"/>
      <c r="W126" s="384"/>
      <c r="X126" s="384"/>
      <c r="Y126" s="384"/>
      <c r="Z126" s="384"/>
      <c r="AA126" s="384"/>
      <c r="AB126" s="384"/>
      <c r="AC126" s="466"/>
      <c r="AG126" s="356"/>
    </row>
    <row r="127" spans="1:33" s="402" customFormat="1" x14ac:dyDescent="0.2">
      <c r="A127" s="434"/>
      <c r="B127" s="434"/>
      <c r="C127" s="440"/>
      <c r="D127" s="571"/>
      <c r="E127" s="485"/>
      <c r="F127" s="577"/>
      <c r="G127" s="550"/>
      <c r="H127" s="384"/>
      <c r="I127" s="356"/>
      <c r="J127" s="356"/>
      <c r="K127" s="356"/>
      <c r="L127" s="356"/>
      <c r="M127" s="356"/>
      <c r="N127" s="356"/>
      <c r="O127" s="384"/>
      <c r="P127" s="384"/>
      <c r="Q127" s="384"/>
      <c r="R127" s="384"/>
      <c r="S127" s="384"/>
      <c r="T127" s="384"/>
      <c r="U127" s="384"/>
      <c r="V127" s="384"/>
      <c r="W127" s="384"/>
      <c r="X127" s="384"/>
      <c r="Y127" s="384"/>
      <c r="Z127" s="384"/>
      <c r="AA127" s="384"/>
      <c r="AB127" s="384"/>
      <c r="AC127" s="466"/>
      <c r="AD127" s="457"/>
      <c r="AE127" s="458"/>
      <c r="AF127" s="459"/>
      <c r="AG127" s="356"/>
    </row>
    <row r="128" spans="1:33" s="402" customFormat="1" ht="15.75" x14ac:dyDescent="0.25">
      <c r="A128" s="714"/>
      <c r="B128" s="436"/>
      <c r="C128" s="440"/>
      <c r="D128" s="571"/>
      <c r="E128" s="485"/>
      <c r="F128" s="577"/>
      <c r="G128" s="550"/>
      <c r="H128" s="384"/>
      <c r="I128" s="356"/>
      <c r="J128" s="356"/>
      <c r="K128" s="356"/>
      <c r="L128" s="356"/>
      <c r="M128" s="356"/>
      <c r="N128" s="356"/>
      <c r="O128" s="384"/>
      <c r="P128" s="384"/>
      <c r="Q128" s="384"/>
      <c r="R128" s="384"/>
      <c r="S128" s="384"/>
      <c r="T128" s="384"/>
      <c r="U128" s="384"/>
      <c r="V128" s="384"/>
      <c r="W128" s="384"/>
      <c r="X128" s="384"/>
      <c r="Y128" s="384"/>
      <c r="Z128" s="384"/>
      <c r="AA128" s="384"/>
      <c r="AB128" s="384"/>
      <c r="AC128" s="466"/>
      <c r="AD128" s="457"/>
      <c r="AE128" s="458"/>
      <c r="AF128" s="459"/>
      <c r="AG128" s="356"/>
    </row>
    <row r="129" spans="1:33" s="402" customFormat="1" x14ac:dyDescent="0.2">
      <c r="A129" s="434"/>
      <c r="B129" s="434"/>
      <c r="C129" s="440"/>
      <c r="D129" s="571"/>
      <c r="E129" s="485"/>
      <c r="F129" s="577"/>
      <c r="G129" s="550"/>
      <c r="H129" s="384"/>
      <c r="I129" s="356"/>
      <c r="J129" s="356"/>
      <c r="K129" s="356"/>
      <c r="L129" s="356"/>
      <c r="M129" s="356"/>
      <c r="N129" s="356"/>
      <c r="O129" s="384"/>
      <c r="P129" s="384"/>
      <c r="Q129" s="384"/>
      <c r="R129" s="384"/>
      <c r="S129" s="384"/>
      <c r="T129" s="384"/>
      <c r="U129" s="384"/>
      <c r="V129" s="384"/>
      <c r="W129" s="384"/>
      <c r="X129" s="384"/>
      <c r="Y129" s="384"/>
      <c r="Z129" s="384"/>
      <c r="AA129" s="384"/>
      <c r="AB129" s="384"/>
      <c r="AC129" s="466"/>
      <c r="AD129" s="457"/>
      <c r="AE129" s="458"/>
      <c r="AF129" s="459"/>
      <c r="AG129" s="356"/>
    </row>
    <row r="130" spans="1:33" s="402" customFormat="1" x14ac:dyDescent="0.2">
      <c r="A130" s="436"/>
      <c r="B130" s="436"/>
      <c r="C130" s="440"/>
      <c r="D130" s="571"/>
      <c r="E130" s="485"/>
      <c r="F130" s="577"/>
      <c r="G130" s="550"/>
      <c r="H130" s="384"/>
      <c r="I130" s="356"/>
      <c r="J130" s="356"/>
      <c r="K130" s="356"/>
      <c r="L130" s="356"/>
      <c r="M130" s="356"/>
      <c r="N130" s="356"/>
      <c r="O130" s="384"/>
      <c r="P130" s="384"/>
      <c r="Q130" s="384"/>
      <c r="R130" s="384"/>
      <c r="S130" s="384"/>
      <c r="T130" s="384"/>
      <c r="U130" s="384"/>
      <c r="V130" s="384"/>
      <c r="W130" s="384"/>
      <c r="X130" s="384"/>
      <c r="Y130" s="384"/>
      <c r="Z130" s="384"/>
      <c r="AA130" s="384"/>
      <c r="AB130" s="384"/>
      <c r="AC130" s="466"/>
      <c r="AD130" s="457"/>
      <c r="AE130" s="458"/>
      <c r="AF130" s="459"/>
      <c r="AG130" s="356"/>
    </row>
    <row r="131" spans="1:33" s="402" customFormat="1" x14ac:dyDescent="0.2">
      <c r="A131" s="434"/>
      <c r="B131" s="434"/>
      <c r="C131" s="440"/>
      <c r="D131" s="571"/>
      <c r="E131" s="485"/>
      <c r="F131" s="577"/>
      <c r="G131" s="550"/>
      <c r="H131" s="384"/>
      <c r="I131" s="356"/>
      <c r="J131" s="356"/>
      <c r="K131" s="356"/>
      <c r="L131" s="356"/>
      <c r="M131" s="356"/>
      <c r="N131" s="356"/>
      <c r="O131" s="384"/>
      <c r="P131" s="384"/>
      <c r="Q131" s="384"/>
      <c r="R131" s="384"/>
      <c r="S131" s="384"/>
      <c r="T131" s="384"/>
      <c r="U131" s="384"/>
      <c r="V131" s="384"/>
      <c r="W131" s="384"/>
      <c r="X131" s="384"/>
      <c r="Y131" s="384"/>
      <c r="Z131" s="384"/>
      <c r="AA131" s="384"/>
      <c r="AB131" s="384"/>
      <c r="AC131" s="466"/>
      <c r="AD131" s="457"/>
      <c r="AE131" s="536"/>
      <c r="AG131" s="356"/>
    </row>
    <row r="132" spans="1:33" s="402" customFormat="1" x14ac:dyDescent="0.2">
      <c r="A132" s="436"/>
      <c r="B132" s="436"/>
      <c r="C132" s="440"/>
      <c r="D132" s="571"/>
      <c r="E132" s="485"/>
      <c r="F132" s="577"/>
      <c r="G132" s="550"/>
      <c r="H132" s="387"/>
      <c r="I132" s="356"/>
      <c r="J132" s="356"/>
      <c r="K132" s="356"/>
      <c r="L132" s="356"/>
      <c r="M132" s="356"/>
      <c r="N132" s="356"/>
      <c r="O132" s="386"/>
      <c r="P132" s="386"/>
      <c r="Q132" s="387"/>
      <c r="R132" s="387"/>
      <c r="S132" s="387"/>
      <c r="T132" s="387"/>
      <c r="U132" s="387"/>
      <c r="V132" s="387"/>
      <c r="W132" s="387"/>
      <c r="X132" s="387"/>
      <c r="Y132" s="387"/>
      <c r="Z132" s="387"/>
      <c r="AA132" s="387"/>
      <c r="AB132" s="387"/>
      <c r="AC132" s="468"/>
      <c r="AG132" s="356"/>
    </row>
    <row r="133" spans="1:33" s="402" customFormat="1" x14ac:dyDescent="0.2">
      <c r="A133" s="434"/>
      <c r="B133" s="434"/>
      <c r="C133" s="440"/>
      <c r="D133" s="571"/>
      <c r="E133" s="485"/>
      <c r="F133" s="577"/>
      <c r="G133" s="550"/>
      <c r="H133" s="388"/>
      <c r="I133" s="356"/>
      <c r="J133" s="356"/>
      <c r="K133" s="356"/>
      <c r="L133" s="356"/>
      <c r="M133" s="356"/>
      <c r="N133" s="356"/>
      <c r="O133" s="411"/>
      <c r="P133" s="411"/>
      <c r="Q133" s="388"/>
      <c r="R133" s="388"/>
      <c r="S133" s="388"/>
      <c r="T133" s="388"/>
      <c r="U133" s="388"/>
      <c r="V133" s="388"/>
      <c r="W133" s="388"/>
      <c r="X133" s="388"/>
      <c r="Y133" s="388"/>
      <c r="Z133" s="388"/>
      <c r="AA133" s="388"/>
      <c r="AB133" s="388"/>
      <c r="AC133" s="469"/>
      <c r="AD133" s="537"/>
      <c r="AE133" s="461"/>
    </row>
    <row r="134" spans="1:33" s="460" customFormat="1" ht="13.5" thickBot="1" x14ac:dyDescent="0.25">
      <c r="A134" s="436"/>
      <c r="B134" s="436"/>
      <c r="C134" s="440"/>
      <c r="D134" s="571"/>
      <c r="E134" s="485"/>
      <c r="F134" s="577"/>
      <c r="G134" s="550"/>
      <c r="H134" s="388"/>
      <c r="I134" s="356"/>
      <c r="J134" s="356"/>
      <c r="K134" s="356"/>
      <c r="L134" s="356"/>
      <c r="M134" s="356"/>
      <c r="N134" s="356"/>
      <c r="O134" s="411"/>
      <c r="P134" s="411"/>
      <c r="Q134" s="388"/>
      <c r="R134" s="388"/>
      <c r="S134" s="388"/>
      <c r="T134" s="388"/>
      <c r="U134" s="388"/>
      <c r="V134" s="388"/>
      <c r="W134" s="388"/>
      <c r="X134" s="388"/>
      <c r="Y134" s="388"/>
      <c r="Z134" s="388"/>
      <c r="AA134" s="388"/>
      <c r="AB134" s="388"/>
      <c r="AC134" s="469"/>
      <c r="AD134" s="461"/>
      <c r="AE134" s="461"/>
      <c r="AF134" s="402"/>
      <c r="AG134" s="402"/>
    </row>
    <row r="135" spans="1:33" s="402" customFormat="1" x14ac:dyDescent="0.2">
      <c r="A135" s="434"/>
      <c r="B135" s="434"/>
      <c r="C135" s="440"/>
      <c r="D135" s="571"/>
      <c r="E135" s="485"/>
      <c r="F135" s="577"/>
      <c r="G135" s="550"/>
      <c r="H135" s="388"/>
      <c r="I135" s="356"/>
      <c r="J135" s="428"/>
      <c r="K135" s="356"/>
      <c r="L135" s="356"/>
      <c r="M135" s="356"/>
      <c r="N135" s="356"/>
      <c r="O135" s="411"/>
      <c r="P135" s="411"/>
      <c r="Q135" s="388"/>
      <c r="R135" s="388"/>
      <c r="S135" s="388"/>
      <c r="T135" s="388"/>
      <c r="U135" s="388"/>
      <c r="V135" s="388"/>
      <c r="W135" s="388"/>
      <c r="X135" s="388"/>
      <c r="Y135" s="388"/>
      <c r="Z135" s="388"/>
      <c r="AA135" s="388"/>
      <c r="AB135" s="388"/>
      <c r="AC135" s="469"/>
      <c r="AD135" s="356"/>
      <c r="AE135" s="356"/>
    </row>
    <row r="136" spans="1:33" s="356" customFormat="1" x14ac:dyDescent="0.2">
      <c r="A136" s="436"/>
      <c r="B136" s="436"/>
      <c r="C136" s="440"/>
      <c r="D136" s="571"/>
      <c r="E136" s="485"/>
      <c r="F136" s="577"/>
      <c r="G136" s="550"/>
      <c r="H136" s="388"/>
      <c r="O136" s="411"/>
      <c r="P136" s="411"/>
      <c r="Q136" s="388"/>
      <c r="R136" s="388"/>
      <c r="S136" s="388"/>
      <c r="T136" s="388"/>
      <c r="U136" s="388"/>
      <c r="V136" s="388"/>
      <c r="W136" s="388"/>
      <c r="X136" s="388"/>
      <c r="Y136" s="388"/>
      <c r="Z136" s="388"/>
      <c r="AA136" s="388"/>
      <c r="AB136" s="388"/>
      <c r="AC136" s="469"/>
      <c r="AD136" s="457"/>
      <c r="AE136" s="536"/>
      <c r="AF136" s="538"/>
      <c r="AG136" s="402"/>
    </row>
    <row r="137" spans="1:33" s="356" customFormat="1" x14ac:dyDescent="0.2">
      <c r="A137" s="436"/>
      <c r="B137" s="434"/>
      <c r="C137" s="440"/>
      <c r="D137" s="571"/>
      <c r="E137" s="528"/>
      <c r="F137" s="577"/>
      <c r="G137" s="550"/>
      <c r="H137" s="391"/>
      <c r="O137" s="412"/>
      <c r="P137" s="412"/>
      <c r="Q137" s="391"/>
      <c r="R137" s="391"/>
      <c r="S137" s="391"/>
      <c r="T137" s="391"/>
      <c r="U137" s="391"/>
      <c r="V137" s="391"/>
      <c r="W137" s="391"/>
      <c r="X137" s="391"/>
      <c r="Y137" s="391"/>
      <c r="Z137" s="388"/>
      <c r="AA137" s="388"/>
      <c r="AB137" s="388"/>
      <c r="AC137" s="469"/>
      <c r="AD137" s="457"/>
      <c r="AE137" s="536"/>
      <c r="AF137" s="538"/>
      <c r="AG137" s="402"/>
    </row>
    <row r="138" spans="1:33" s="356" customFormat="1" x14ac:dyDescent="0.2">
      <c r="A138" s="566"/>
      <c r="B138" s="436"/>
      <c r="C138" s="440"/>
      <c r="D138" s="572"/>
      <c r="E138" s="481"/>
      <c r="F138" s="577"/>
      <c r="G138" s="550"/>
      <c r="H138" s="391"/>
      <c r="O138" s="412"/>
      <c r="P138" s="412"/>
      <c r="Q138" s="391"/>
      <c r="R138" s="391"/>
      <c r="S138" s="391"/>
      <c r="T138" s="391"/>
      <c r="U138" s="391"/>
      <c r="V138" s="391"/>
      <c r="W138" s="391"/>
      <c r="X138" s="391"/>
      <c r="Y138" s="391"/>
      <c r="Z138" s="388"/>
      <c r="AA138" s="388"/>
      <c r="AB138" s="388"/>
      <c r="AC138" s="469"/>
      <c r="AD138" s="461"/>
      <c r="AE138" s="461"/>
      <c r="AF138" s="538"/>
      <c r="AG138" s="402"/>
    </row>
    <row r="139" spans="1:33" s="402" customFormat="1" x14ac:dyDescent="0.2">
      <c r="A139" s="356"/>
      <c r="B139" s="356"/>
      <c r="C139" s="356"/>
      <c r="D139" s="571"/>
      <c r="E139" s="356"/>
      <c r="F139" s="356"/>
      <c r="G139" s="434"/>
      <c r="H139" s="391"/>
      <c r="I139" s="356"/>
      <c r="J139" s="356"/>
      <c r="K139" s="356"/>
      <c r="L139" s="356"/>
      <c r="M139" s="356"/>
      <c r="N139" s="356"/>
      <c r="O139" s="412"/>
      <c r="P139" s="412"/>
      <c r="Q139" s="391"/>
      <c r="R139" s="391"/>
      <c r="S139" s="391"/>
      <c r="T139" s="391"/>
      <c r="U139" s="391"/>
      <c r="V139" s="391"/>
      <c r="W139" s="391"/>
      <c r="X139" s="391"/>
      <c r="Y139" s="391"/>
      <c r="Z139" s="388"/>
      <c r="AA139" s="388"/>
      <c r="AB139" s="388"/>
      <c r="AC139" s="469"/>
      <c r="AF139" s="455"/>
    </row>
    <row r="140" spans="1:33" s="402" customFormat="1" ht="18" x14ac:dyDescent="0.25">
      <c r="A140" s="433"/>
      <c r="B140" s="442"/>
      <c r="C140" s="443"/>
      <c r="D140" s="573"/>
      <c r="E140" s="443"/>
      <c r="F140" s="443"/>
      <c r="G140" s="434"/>
      <c r="H140" s="434"/>
      <c r="I140" s="356"/>
      <c r="J140" s="356"/>
      <c r="K140" s="356"/>
      <c r="L140" s="356"/>
      <c r="M140" s="356"/>
      <c r="N140" s="356"/>
      <c r="O140" s="444"/>
      <c r="P140" s="444"/>
      <c r="Q140" s="434"/>
      <c r="R140" s="434"/>
      <c r="S140" s="434"/>
      <c r="T140" s="434"/>
      <c r="U140" s="434"/>
      <c r="V140" s="434"/>
      <c r="W140" s="434"/>
      <c r="X140" s="434"/>
      <c r="Y140" s="391"/>
      <c r="Z140" s="388"/>
      <c r="AA140" s="388"/>
      <c r="AB140" s="388"/>
      <c r="AC140" s="469"/>
      <c r="AF140" s="455"/>
    </row>
    <row r="141" spans="1:33" s="402" customFormat="1" x14ac:dyDescent="0.2">
      <c r="A141" s="434"/>
      <c r="B141" s="434"/>
      <c r="C141" s="434"/>
      <c r="D141" s="574"/>
      <c r="E141" s="434"/>
      <c r="F141" s="434"/>
      <c r="G141" s="434"/>
      <c r="H141" s="434"/>
      <c r="I141" s="356"/>
      <c r="J141" s="356"/>
      <c r="K141" s="356"/>
      <c r="L141" s="356"/>
      <c r="M141" s="356"/>
      <c r="N141" s="356"/>
      <c r="O141" s="444"/>
      <c r="P141" s="444"/>
      <c r="Q141" s="434"/>
      <c r="R141" s="434"/>
      <c r="S141" s="434"/>
      <c r="T141" s="434"/>
      <c r="U141" s="434"/>
      <c r="V141" s="434"/>
      <c r="W141" s="434"/>
      <c r="X141" s="434"/>
      <c r="Y141" s="391"/>
      <c r="Z141" s="388"/>
      <c r="AA141" s="388"/>
      <c r="AB141" s="388"/>
      <c r="AC141" s="469"/>
      <c r="AF141" s="356"/>
    </row>
    <row r="142" spans="1:33" s="402" customFormat="1" ht="18" x14ac:dyDescent="0.25">
      <c r="A142" s="438"/>
      <c r="B142" s="439"/>
      <c r="C142" s="439"/>
      <c r="D142" s="710"/>
      <c r="E142" s="439"/>
      <c r="F142" s="711"/>
      <c r="G142" s="439"/>
      <c r="H142" s="434"/>
      <c r="I142" s="356"/>
      <c r="J142" s="356"/>
      <c r="K142" s="356"/>
      <c r="L142" s="356"/>
      <c r="M142" s="356"/>
      <c r="N142" s="356"/>
      <c r="O142" s="444"/>
      <c r="P142" s="444"/>
      <c r="Q142" s="434"/>
      <c r="R142" s="434"/>
      <c r="S142" s="434"/>
      <c r="T142" s="434"/>
      <c r="U142" s="434"/>
      <c r="V142" s="434"/>
      <c r="W142" s="434"/>
      <c r="X142" s="434"/>
      <c r="Y142" s="391"/>
      <c r="Z142" s="391"/>
      <c r="AA142" s="391"/>
      <c r="AB142" s="391"/>
      <c r="AC142" s="470"/>
      <c r="AF142" s="356"/>
    </row>
    <row r="143" spans="1:33" s="402" customFormat="1" ht="18" x14ac:dyDescent="0.25">
      <c r="A143" s="438"/>
      <c r="B143" s="439"/>
      <c r="C143" s="439"/>
      <c r="D143" s="575"/>
      <c r="E143" s="437"/>
      <c r="F143" s="437"/>
      <c r="G143" s="434"/>
      <c r="H143" s="445"/>
      <c r="I143" s="446"/>
      <c r="J143" s="356"/>
      <c r="K143" s="356"/>
      <c r="L143" s="356"/>
      <c r="M143" s="447"/>
      <c r="N143" s="448"/>
      <c r="O143" s="444"/>
      <c r="P143" s="444"/>
      <c r="Q143" s="434"/>
      <c r="R143" s="434"/>
      <c r="S143" s="434"/>
      <c r="T143" s="434"/>
      <c r="U143" s="434"/>
      <c r="V143" s="434"/>
      <c r="W143" s="434"/>
      <c r="X143" s="434"/>
      <c r="Y143" s="391"/>
      <c r="Z143" s="391"/>
      <c r="AA143" s="391"/>
      <c r="AB143" s="391"/>
      <c r="AC143" s="470"/>
      <c r="AF143" s="356"/>
    </row>
    <row r="144" spans="1:33" s="402" customFormat="1" ht="13.5" thickBot="1" x14ac:dyDescent="0.25">
      <c r="A144" s="436"/>
      <c r="B144" s="434"/>
      <c r="C144" s="440"/>
      <c r="D144" s="571"/>
      <c r="E144" s="528"/>
      <c r="F144" s="577"/>
      <c r="G144" s="550"/>
      <c r="I144" s="449"/>
      <c r="J144" s="450"/>
      <c r="K144" s="356"/>
      <c r="L144" s="356"/>
      <c r="M144" s="356"/>
      <c r="N144" s="356"/>
      <c r="O144" s="444"/>
      <c r="P144" s="444"/>
      <c r="Q144" s="434"/>
      <c r="R144" s="434"/>
      <c r="S144" s="434"/>
      <c r="T144" s="434"/>
      <c r="U144" s="434"/>
      <c r="V144" s="434"/>
      <c r="W144" s="434"/>
      <c r="X144" s="434"/>
      <c r="Y144" s="391"/>
      <c r="Z144" s="391"/>
      <c r="AA144" s="452"/>
      <c r="AB144" s="391"/>
      <c r="AC144" s="470"/>
      <c r="AD144" s="356"/>
      <c r="AE144" s="356"/>
      <c r="AF144" s="356"/>
      <c r="AG144" s="460"/>
    </row>
    <row r="145" spans="1:33" s="402" customFormat="1" x14ac:dyDescent="0.2">
      <c r="A145" s="434"/>
      <c r="B145" s="434"/>
      <c r="C145" s="440"/>
      <c r="D145" s="576"/>
      <c r="E145" s="485"/>
      <c r="F145" s="577"/>
      <c r="G145" s="550"/>
      <c r="I145" s="449"/>
      <c r="J145" s="450"/>
      <c r="K145" s="356"/>
      <c r="L145" s="356"/>
      <c r="M145" s="356"/>
      <c r="N145" s="356"/>
      <c r="O145" s="444"/>
      <c r="P145" s="444"/>
      <c r="Q145" s="434"/>
      <c r="R145" s="434"/>
      <c r="S145" s="434"/>
      <c r="T145" s="434"/>
      <c r="U145" s="434"/>
      <c r="V145" s="434"/>
      <c r="W145" s="434"/>
      <c r="X145" s="434"/>
      <c r="Y145" s="391"/>
      <c r="Z145" s="391"/>
      <c r="AA145" s="452"/>
      <c r="AB145" s="391"/>
      <c r="AC145" s="470"/>
      <c r="AD145" s="403"/>
      <c r="AE145" s="356"/>
      <c r="AF145" s="356"/>
    </row>
    <row r="146" spans="1:33" s="402" customFormat="1" x14ac:dyDescent="0.2">
      <c r="A146" s="436"/>
      <c r="B146" s="434"/>
      <c r="C146" s="440"/>
      <c r="D146" s="572"/>
      <c r="E146" s="485"/>
      <c r="F146" s="577"/>
      <c r="G146" s="550"/>
      <c r="I146" s="449"/>
      <c r="J146" s="450"/>
      <c r="K146" s="376"/>
      <c r="L146" s="376"/>
      <c r="M146" s="376"/>
      <c r="N146" s="376"/>
      <c r="O146" s="444"/>
      <c r="P146" s="444"/>
      <c r="Q146" s="434"/>
      <c r="R146" s="434"/>
      <c r="S146" s="434"/>
      <c r="T146" s="434"/>
      <c r="U146" s="434"/>
      <c r="V146" s="434"/>
      <c r="W146" s="434"/>
      <c r="X146" s="434"/>
      <c r="Y146" s="391"/>
      <c r="Z146" s="391"/>
      <c r="AA146" s="452"/>
      <c r="AB146" s="391"/>
      <c r="AC146" s="470"/>
      <c r="AF146" s="356"/>
      <c r="AG146" s="356"/>
    </row>
    <row r="147" spans="1:33" s="402" customFormat="1" x14ac:dyDescent="0.2">
      <c r="A147" s="434"/>
      <c r="B147" s="434"/>
      <c r="C147" s="440"/>
      <c r="D147" s="572"/>
      <c r="E147" s="485"/>
      <c r="F147" s="577"/>
      <c r="G147" s="550"/>
      <c r="I147" s="451"/>
      <c r="J147" s="450"/>
      <c r="K147" s="434"/>
      <c r="L147" s="434"/>
      <c r="M147" s="444"/>
      <c r="N147" s="444"/>
      <c r="O147" s="434"/>
      <c r="P147" s="434"/>
      <c r="Q147" s="434"/>
      <c r="R147" s="434"/>
      <c r="S147" s="434"/>
      <c r="T147" s="434"/>
      <c r="U147" s="434"/>
      <c r="V147" s="434"/>
      <c r="W147" s="434"/>
      <c r="X147" s="434"/>
      <c r="Y147" s="391"/>
      <c r="Z147" s="391"/>
      <c r="AA147" s="452"/>
      <c r="AB147" s="391"/>
      <c r="AC147" s="470"/>
      <c r="AD147" s="429"/>
      <c r="AE147" s="430"/>
      <c r="AF147" s="356"/>
      <c r="AG147" s="356"/>
    </row>
    <row r="148" spans="1:33" s="402" customFormat="1" x14ac:dyDescent="0.2">
      <c r="A148" s="436"/>
      <c r="B148" s="434"/>
      <c r="C148" s="440"/>
      <c r="D148" s="572"/>
      <c r="E148" s="485"/>
      <c r="F148" s="577"/>
      <c r="G148" s="550"/>
      <c r="I148" s="451"/>
      <c r="J148" s="450"/>
      <c r="K148" s="434"/>
      <c r="L148" s="434"/>
      <c r="M148" s="444"/>
      <c r="N148" s="444"/>
      <c r="O148" s="434"/>
      <c r="P148" s="434"/>
      <c r="Q148" s="434"/>
      <c r="R148" s="434"/>
      <c r="S148" s="434"/>
      <c r="T148" s="434"/>
      <c r="U148" s="434"/>
      <c r="V148" s="434"/>
      <c r="W148" s="434"/>
      <c r="X148" s="434"/>
      <c r="Y148" s="391"/>
      <c r="Z148" s="391"/>
      <c r="AA148" s="452"/>
      <c r="AB148" s="391"/>
      <c r="AC148" s="470"/>
      <c r="AD148" s="403"/>
      <c r="AE148" s="356"/>
      <c r="AF148" s="356"/>
      <c r="AG148" s="356"/>
    </row>
    <row r="149" spans="1:33" s="402" customFormat="1" x14ac:dyDescent="0.2">
      <c r="A149" s="434"/>
      <c r="B149" s="434"/>
      <c r="C149" s="440"/>
      <c r="D149" s="572"/>
      <c r="E149" s="485"/>
      <c r="F149" s="577"/>
      <c r="G149" s="550"/>
      <c r="I149" s="451"/>
      <c r="J149" s="450"/>
      <c r="K149" s="434"/>
      <c r="L149" s="434"/>
      <c r="M149" s="444"/>
      <c r="N149" s="444"/>
      <c r="O149" s="434"/>
      <c r="P149" s="434"/>
      <c r="Q149" s="434"/>
      <c r="R149" s="434"/>
      <c r="S149" s="434"/>
      <c r="T149" s="434"/>
      <c r="U149" s="434"/>
      <c r="V149" s="434"/>
      <c r="W149" s="434"/>
      <c r="X149" s="434"/>
      <c r="Y149" s="391"/>
      <c r="Z149" s="391"/>
      <c r="AA149" s="452"/>
      <c r="AB149" s="391"/>
      <c r="AC149" s="470"/>
      <c r="AD149" s="403"/>
      <c r="AE149" s="356"/>
      <c r="AF149" s="356"/>
    </row>
    <row r="150" spans="1:33" s="402" customFormat="1" x14ac:dyDescent="0.2">
      <c r="A150" s="436"/>
      <c r="B150" s="434"/>
      <c r="C150" s="440"/>
      <c r="D150" s="572"/>
      <c r="E150" s="485"/>
      <c r="F150" s="577"/>
      <c r="G150" s="550"/>
      <c r="I150" s="451"/>
      <c r="J150" s="450"/>
      <c r="K150" s="434"/>
      <c r="L150" s="434"/>
      <c r="M150" s="444"/>
      <c r="N150" s="444"/>
      <c r="O150" s="434"/>
      <c r="P150" s="434"/>
      <c r="Q150" s="434"/>
      <c r="R150" s="434"/>
      <c r="S150" s="434"/>
      <c r="T150" s="434"/>
      <c r="U150" s="434"/>
      <c r="V150" s="434"/>
      <c r="W150" s="434"/>
      <c r="X150" s="434"/>
      <c r="Y150" s="391"/>
      <c r="Z150" s="370"/>
      <c r="AA150" s="452"/>
      <c r="AB150" s="370"/>
      <c r="AC150" s="465"/>
      <c r="AD150" s="403"/>
      <c r="AE150" s="356"/>
      <c r="AF150" s="356"/>
    </row>
    <row r="151" spans="1:33" s="402" customFormat="1" x14ac:dyDescent="0.2">
      <c r="A151" s="434"/>
      <c r="B151" s="434"/>
      <c r="C151" s="440"/>
      <c r="D151" s="572"/>
      <c r="E151" s="485"/>
      <c r="F151" s="577"/>
      <c r="G151" s="550"/>
      <c r="I151" s="451"/>
      <c r="J151" s="450"/>
      <c r="K151" s="434"/>
      <c r="L151" s="434"/>
      <c r="M151" s="444"/>
      <c r="N151" s="444"/>
      <c r="O151" s="434"/>
      <c r="P151" s="434"/>
      <c r="Q151" s="434"/>
      <c r="R151" s="434"/>
      <c r="S151" s="434"/>
      <c r="T151" s="434"/>
      <c r="U151" s="434"/>
      <c r="V151" s="434"/>
      <c r="W151" s="434"/>
      <c r="X151" s="434"/>
      <c r="Y151" s="391"/>
      <c r="Z151" s="370"/>
      <c r="AA151" s="452"/>
      <c r="AB151" s="370"/>
      <c r="AC151" s="465"/>
      <c r="AD151" s="403"/>
      <c r="AE151" s="356"/>
      <c r="AF151" s="356"/>
    </row>
    <row r="152" spans="1:33" s="402" customFormat="1" x14ac:dyDescent="0.2">
      <c r="A152" s="436"/>
      <c r="B152" s="434"/>
      <c r="C152" s="440"/>
      <c r="D152" s="572"/>
      <c r="E152" s="485"/>
      <c r="F152" s="577"/>
      <c r="G152" s="550"/>
      <c r="I152" s="451"/>
      <c r="J152" s="450"/>
      <c r="K152" s="434"/>
      <c r="L152" s="434"/>
      <c r="M152" s="444"/>
      <c r="N152" s="444"/>
      <c r="O152" s="434"/>
      <c r="P152" s="434"/>
      <c r="Q152" s="434"/>
      <c r="R152" s="434"/>
      <c r="S152" s="434"/>
      <c r="T152" s="434"/>
      <c r="U152" s="434"/>
      <c r="V152" s="434"/>
      <c r="W152" s="434"/>
      <c r="X152" s="434"/>
      <c r="Y152" s="391"/>
      <c r="Z152" s="370"/>
      <c r="AA152" s="452"/>
      <c r="AB152" s="370"/>
      <c r="AC152" s="465"/>
      <c r="AD152" s="396"/>
      <c r="AE152" s="397"/>
      <c r="AF152" s="403"/>
    </row>
    <row r="153" spans="1:33" s="402" customFormat="1" x14ac:dyDescent="0.2">
      <c r="A153" s="434"/>
      <c r="B153" s="434"/>
      <c r="C153" s="440"/>
      <c r="D153" s="572"/>
      <c r="E153" s="485"/>
      <c r="F153" s="577"/>
      <c r="G153" s="550"/>
      <c r="I153" s="451"/>
      <c r="J153" s="450"/>
      <c r="K153" s="434"/>
      <c r="L153" s="434"/>
      <c r="M153" s="444"/>
      <c r="N153" s="444"/>
      <c r="O153" s="434"/>
      <c r="P153" s="434"/>
      <c r="Q153" s="434"/>
      <c r="R153" s="434"/>
      <c r="S153" s="434"/>
      <c r="T153" s="434"/>
      <c r="U153" s="434"/>
      <c r="V153" s="434"/>
      <c r="W153" s="434"/>
      <c r="X153" s="434"/>
      <c r="Y153" s="391"/>
      <c r="Z153" s="370"/>
      <c r="AA153" s="452"/>
      <c r="AB153" s="370"/>
      <c r="AC153" s="465"/>
      <c r="AD153" s="398"/>
      <c r="AE153" s="398"/>
      <c r="AF153" s="403"/>
    </row>
    <row r="154" spans="1:33" s="402" customFormat="1" x14ac:dyDescent="0.2">
      <c r="A154" s="436"/>
      <c r="B154" s="434"/>
      <c r="C154" s="440"/>
      <c r="D154" s="572"/>
      <c r="E154" s="485"/>
      <c r="F154" s="577"/>
      <c r="G154" s="550"/>
      <c r="I154" s="451"/>
      <c r="J154" s="450"/>
      <c r="K154" s="434"/>
      <c r="L154" s="434"/>
      <c r="M154" s="444"/>
      <c r="N154" s="444"/>
      <c r="O154" s="434"/>
      <c r="P154" s="434"/>
      <c r="Q154" s="434"/>
      <c r="R154" s="434"/>
      <c r="S154" s="434"/>
      <c r="T154" s="434"/>
      <c r="U154" s="434"/>
      <c r="V154" s="434"/>
      <c r="W154" s="434"/>
      <c r="X154" s="434"/>
      <c r="Y154" s="391"/>
      <c r="Z154" s="370"/>
      <c r="AA154" s="452"/>
      <c r="AB154" s="370"/>
      <c r="AC154" s="465"/>
      <c r="AD154" s="396"/>
      <c r="AE154" s="397"/>
      <c r="AF154" s="403"/>
    </row>
    <row r="155" spans="1:33" s="402" customFormat="1" x14ac:dyDescent="0.2">
      <c r="A155" s="434"/>
      <c r="B155" s="434"/>
      <c r="C155" s="440"/>
      <c r="D155" s="572"/>
      <c r="E155" s="485"/>
      <c r="F155" s="577"/>
      <c r="G155" s="550"/>
      <c r="I155" s="451"/>
      <c r="J155" s="450"/>
      <c r="K155" s="434"/>
      <c r="L155" s="434"/>
      <c r="M155" s="444"/>
      <c r="N155" s="444"/>
      <c r="O155" s="434"/>
      <c r="P155" s="434"/>
      <c r="Q155" s="434"/>
      <c r="R155" s="434"/>
      <c r="S155" s="434"/>
      <c r="T155" s="434"/>
      <c r="U155" s="434"/>
      <c r="V155" s="434"/>
      <c r="W155" s="434"/>
      <c r="X155" s="434"/>
      <c r="Y155" s="391"/>
      <c r="Z155" s="370"/>
      <c r="AA155" s="452"/>
      <c r="AB155" s="370"/>
      <c r="AC155" s="465"/>
      <c r="AD155" s="401"/>
      <c r="AE155" s="399"/>
      <c r="AF155" s="403"/>
    </row>
    <row r="156" spans="1:33" s="402" customFormat="1" x14ac:dyDescent="0.2">
      <c r="A156" s="436"/>
      <c r="B156" s="434"/>
      <c r="C156" s="440"/>
      <c r="D156" s="572"/>
      <c r="E156" s="485"/>
      <c r="F156" s="577"/>
      <c r="G156" s="550"/>
      <c r="I156" s="451"/>
      <c r="J156" s="450"/>
      <c r="K156" s="434"/>
      <c r="L156" s="434"/>
      <c r="M156" s="444"/>
      <c r="N156" s="444"/>
      <c r="O156" s="434"/>
      <c r="P156" s="434"/>
      <c r="Q156" s="434"/>
      <c r="R156" s="434"/>
      <c r="S156" s="434"/>
      <c r="T156" s="434"/>
      <c r="U156" s="434"/>
      <c r="V156" s="434"/>
      <c r="W156" s="434"/>
      <c r="X156" s="434"/>
      <c r="Y156" s="391"/>
      <c r="Z156" s="370"/>
      <c r="AA156" s="452"/>
      <c r="AB156" s="370"/>
      <c r="AC156" s="465"/>
      <c r="AD156" s="401"/>
      <c r="AE156" s="399"/>
      <c r="AF156" s="403"/>
    </row>
    <row r="157" spans="1:33" s="402" customFormat="1" x14ac:dyDescent="0.2">
      <c r="A157" s="434"/>
      <c r="B157" s="434"/>
      <c r="C157" s="440"/>
      <c r="D157" s="572"/>
      <c r="E157" s="485"/>
      <c r="F157" s="577"/>
      <c r="G157" s="550"/>
      <c r="I157" s="451"/>
      <c r="J157" s="450"/>
      <c r="K157" s="434"/>
      <c r="L157" s="434"/>
      <c r="M157" s="444"/>
      <c r="N157" s="444"/>
      <c r="O157" s="434"/>
      <c r="P157" s="434"/>
      <c r="Q157" s="434"/>
      <c r="R157" s="434"/>
      <c r="S157" s="434"/>
      <c r="T157" s="434"/>
      <c r="U157" s="434"/>
      <c r="V157" s="434"/>
      <c r="W157" s="434"/>
      <c r="X157" s="434"/>
      <c r="Y157" s="391"/>
      <c r="Z157" s="370"/>
      <c r="AA157" s="452"/>
      <c r="AB157" s="370"/>
      <c r="AC157" s="465"/>
      <c r="AD157" s="401"/>
      <c r="AE157" s="413"/>
      <c r="AF157" s="403"/>
    </row>
    <row r="158" spans="1:33" s="402" customFormat="1" x14ac:dyDescent="0.2">
      <c r="A158" s="436"/>
      <c r="B158" s="434"/>
      <c r="C158" s="440"/>
      <c r="D158" s="572"/>
      <c r="E158" s="485"/>
      <c r="F158" s="577"/>
      <c r="G158" s="550"/>
      <c r="I158" s="451"/>
      <c r="J158" s="450"/>
      <c r="K158" s="434"/>
      <c r="L158" s="434"/>
      <c r="M158" s="444"/>
      <c r="N158" s="444"/>
      <c r="O158" s="434"/>
      <c r="P158" s="434"/>
      <c r="Q158" s="434"/>
      <c r="R158" s="434"/>
      <c r="S158" s="434"/>
      <c r="T158" s="434"/>
      <c r="U158" s="434"/>
      <c r="V158" s="434"/>
      <c r="W158" s="434"/>
      <c r="X158" s="434"/>
      <c r="Y158" s="391"/>
      <c r="Z158" s="370"/>
      <c r="AA158" s="452"/>
      <c r="AB158" s="370"/>
      <c r="AC158" s="465"/>
      <c r="AD158" s="401"/>
      <c r="AE158" s="414"/>
      <c r="AF158" s="356"/>
    </row>
    <row r="159" spans="1:33" s="402" customFormat="1" x14ac:dyDescent="0.2">
      <c r="A159" s="434"/>
      <c r="B159" s="434"/>
      <c r="C159" s="440"/>
      <c r="D159" s="572"/>
      <c r="E159" s="485"/>
      <c r="F159" s="577"/>
      <c r="G159" s="550"/>
      <c r="I159" s="451"/>
      <c r="J159" s="450"/>
      <c r="K159" s="434"/>
      <c r="L159" s="434"/>
      <c r="M159" s="444"/>
      <c r="N159" s="444"/>
      <c r="O159" s="434"/>
      <c r="P159" s="434"/>
      <c r="Q159" s="434"/>
      <c r="R159" s="434"/>
      <c r="S159" s="434"/>
      <c r="T159" s="434"/>
      <c r="U159" s="434"/>
      <c r="V159" s="434"/>
      <c r="W159" s="434"/>
      <c r="X159" s="434"/>
      <c r="Y159" s="391"/>
      <c r="Z159" s="370"/>
      <c r="AA159" s="452"/>
      <c r="AB159" s="370"/>
      <c r="AC159" s="465"/>
      <c r="AD159" s="396"/>
      <c r="AE159" s="397"/>
      <c r="AF159" s="356"/>
    </row>
    <row r="160" spans="1:33" s="402" customFormat="1" x14ac:dyDescent="0.2">
      <c r="A160" s="436"/>
      <c r="B160" s="434"/>
      <c r="C160" s="440"/>
      <c r="D160" s="572"/>
      <c r="E160" s="485"/>
      <c r="F160" s="577"/>
      <c r="G160" s="550"/>
      <c r="I160" s="451"/>
      <c r="J160" s="450"/>
      <c r="K160" s="434"/>
      <c r="L160" s="434"/>
      <c r="M160" s="444"/>
      <c r="N160" s="444"/>
      <c r="O160" s="434"/>
      <c r="R160" s="434"/>
      <c r="S160" s="434"/>
      <c r="T160" s="434"/>
      <c r="U160" s="434"/>
      <c r="V160" s="434"/>
      <c r="W160" s="434"/>
      <c r="X160" s="434"/>
      <c r="Y160" s="391"/>
      <c r="Z160" s="370"/>
      <c r="AA160" s="452"/>
      <c r="AB160" s="370"/>
      <c r="AC160" s="465"/>
      <c r="AD160" s="396"/>
      <c r="AE160" s="397"/>
      <c r="AF160" s="398"/>
    </row>
    <row r="161" spans="1:32" s="402" customFormat="1" x14ac:dyDescent="0.2">
      <c r="A161" s="434"/>
      <c r="B161" s="434"/>
      <c r="C161" s="440"/>
      <c r="D161" s="572"/>
      <c r="E161" s="485"/>
      <c r="F161" s="577"/>
      <c r="G161" s="550"/>
      <c r="I161" s="451"/>
      <c r="J161" s="450"/>
      <c r="K161" s="434"/>
      <c r="L161" s="434"/>
      <c r="M161" s="444"/>
      <c r="N161" s="444"/>
      <c r="O161" s="434"/>
      <c r="R161" s="434"/>
      <c r="S161" s="434"/>
      <c r="T161" s="434"/>
      <c r="U161" s="434"/>
      <c r="V161" s="434"/>
      <c r="W161" s="434"/>
      <c r="X161" s="434"/>
      <c r="Y161" s="391"/>
      <c r="Z161" s="370"/>
      <c r="AA161" s="452"/>
      <c r="AB161" s="370"/>
      <c r="AC161" s="465"/>
      <c r="AD161" s="381"/>
      <c r="AE161" s="381"/>
      <c r="AF161" s="396"/>
    </row>
    <row r="162" spans="1:32" s="402" customFormat="1" x14ac:dyDescent="0.2">
      <c r="A162" s="436"/>
      <c r="B162" s="434"/>
      <c r="C162" s="440"/>
      <c r="D162" s="572"/>
      <c r="E162" s="485"/>
      <c r="F162" s="577"/>
      <c r="G162" s="550"/>
      <c r="I162" s="451"/>
      <c r="J162" s="450"/>
      <c r="K162" s="434"/>
      <c r="L162" s="434"/>
      <c r="M162" s="444"/>
      <c r="N162" s="444"/>
      <c r="O162" s="434"/>
      <c r="R162" s="434"/>
      <c r="S162" s="434"/>
      <c r="T162" s="434"/>
      <c r="U162" s="434"/>
      <c r="V162" s="434"/>
      <c r="W162" s="434"/>
      <c r="X162" s="434"/>
      <c r="Y162" s="391"/>
      <c r="Z162" s="370"/>
      <c r="AA162" s="452"/>
      <c r="AB162" s="370"/>
      <c r="AC162" s="465"/>
      <c r="AD162" s="370"/>
      <c r="AE162" s="370"/>
      <c r="AF162" s="396"/>
    </row>
    <row r="163" spans="1:32" s="402" customFormat="1" x14ac:dyDescent="0.2">
      <c r="A163" s="434"/>
      <c r="B163" s="434"/>
      <c r="C163" s="440"/>
      <c r="D163" s="572"/>
      <c r="E163" s="485"/>
      <c r="F163" s="577"/>
      <c r="G163" s="550"/>
      <c r="I163" s="451"/>
      <c r="J163" s="450"/>
      <c r="K163" s="434"/>
      <c r="L163" s="434"/>
      <c r="M163" s="444"/>
      <c r="N163" s="444"/>
      <c r="O163" s="434"/>
      <c r="R163" s="434"/>
      <c r="S163" s="434"/>
      <c r="T163" s="434"/>
      <c r="U163" s="434"/>
      <c r="V163" s="434"/>
      <c r="W163" s="434"/>
      <c r="X163" s="434"/>
      <c r="Y163" s="391"/>
      <c r="Z163" s="370"/>
      <c r="AA163" s="452"/>
      <c r="AB163" s="370"/>
      <c r="AC163" s="465"/>
      <c r="AD163" s="382"/>
      <c r="AE163" s="382"/>
      <c r="AF163" s="394"/>
    </row>
    <row r="164" spans="1:32" s="402" customFormat="1" x14ac:dyDescent="0.2">
      <c r="A164" s="436"/>
      <c r="B164" s="434"/>
      <c r="C164" s="440"/>
      <c r="D164" s="572"/>
      <c r="E164" s="485"/>
      <c r="F164" s="577"/>
      <c r="G164" s="550"/>
      <c r="I164" s="451"/>
      <c r="J164" s="450"/>
      <c r="K164" s="434"/>
      <c r="L164" s="434"/>
      <c r="M164" s="444"/>
      <c r="N164" s="444"/>
      <c r="O164" s="434"/>
      <c r="R164" s="434"/>
      <c r="S164" s="434"/>
      <c r="T164" s="434"/>
      <c r="U164" s="434"/>
      <c r="V164" s="434"/>
      <c r="W164" s="434"/>
      <c r="X164" s="434"/>
      <c r="Y164" s="391"/>
      <c r="Z164" s="370"/>
      <c r="AA164" s="452"/>
      <c r="AB164" s="370"/>
      <c r="AC164" s="465"/>
      <c r="AD164" s="382"/>
      <c r="AE164" s="382"/>
      <c r="AF164" s="367"/>
    </row>
    <row r="165" spans="1:32" s="402" customFormat="1" x14ac:dyDescent="0.2">
      <c r="A165" s="434"/>
      <c r="B165" s="434"/>
      <c r="C165" s="440"/>
      <c r="D165" s="572"/>
      <c r="E165" s="485"/>
      <c r="F165" s="577"/>
      <c r="G165" s="550"/>
      <c r="I165" s="451"/>
      <c r="J165" s="450"/>
      <c r="K165" s="434"/>
      <c r="L165" s="434"/>
      <c r="M165" s="444"/>
      <c r="N165" s="444"/>
      <c r="O165" s="434"/>
      <c r="R165" s="434"/>
      <c r="S165" s="434"/>
      <c r="T165" s="434"/>
      <c r="U165" s="434"/>
      <c r="V165" s="434"/>
      <c r="W165" s="434"/>
      <c r="X165" s="434"/>
      <c r="Y165" s="391"/>
      <c r="Z165" s="370"/>
      <c r="AA165" s="452"/>
      <c r="AB165" s="370"/>
      <c r="AC165" s="465"/>
      <c r="AD165" s="370"/>
      <c r="AE165" s="370"/>
      <c r="AF165" s="367"/>
    </row>
    <row r="166" spans="1:32" s="402" customFormat="1" x14ac:dyDescent="0.2">
      <c r="A166" s="436"/>
      <c r="B166" s="434"/>
      <c r="C166" s="440"/>
      <c r="D166" s="572"/>
      <c r="E166" s="485"/>
      <c r="F166" s="577"/>
      <c r="G166" s="550"/>
      <c r="I166" s="451"/>
      <c r="J166" s="450"/>
      <c r="K166" s="434"/>
      <c r="L166" s="434"/>
      <c r="M166" s="444"/>
      <c r="N166" s="444"/>
      <c r="O166" s="434"/>
      <c r="R166" s="434"/>
      <c r="S166" s="434"/>
      <c r="T166" s="434"/>
      <c r="U166" s="434"/>
      <c r="V166" s="434"/>
      <c r="W166" s="434"/>
      <c r="X166" s="434"/>
      <c r="Y166" s="391"/>
      <c r="Z166" s="370"/>
      <c r="AA166" s="452"/>
      <c r="AB166" s="370"/>
      <c r="AC166" s="465"/>
      <c r="AD166" s="370"/>
      <c r="AE166" s="370"/>
      <c r="AF166" s="367"/>
    </row>
    <row r="167" spans="1:32" s="402" customFormat="1" x14ac:dyDescent="0.2">
      <c r="A167" s="436"/>
      <c r="B167" s="434"/>
      <c r="C167" s="440"/>
      <c r="D167" s="572"/>
      <c r="E167" s="528"/>
      <c r="F167" s="577"/>
      <c r="G167" s="550"/>
      <c r="I167" s="451"/>
      <c r="J167" s="450"/>
      <c r="K167" s="434"/>
      <c r="L167" s="434"/>
      <c r="M167" s="444"/>
      <c r="N167" s="444"/>
      <c r="O167" s="434"/>
      <c r="R167" s="434"/>
      <c r="S167" s="434"/>
      <c r="T167" s="434"/>
      <c r="U167" s="434"/>
      <c r="V167" s="434"/>
      <c r="W167" s="434"/>
      <c r="X167" s="434"/>
      <c r="Y167" s="391"/>
      <c r="Z167" s="370"/>
      <c r="AA167" s="452"/>
      <c r="AB167" s="370"/>
      <c r="AC167" s="465"/>
      <c r="AD167" s="383"/>
      <c r="AE167" s="383"/>
      <c r="AF167" s="374"/>
    </row>
    <row r="168" spans="1:32" s="402" customFormat="1" x14ac:dyDescent="0.2">
      <c r="A168" s="370"/>
      <c r="B168" s="434"/>
      <c r="C168" s="440"/>
      <c r="D168" s="572"/>
      <c r="E168" s="481"/>
      <c r="F168" s="577"/>
      <c r="G168" s="550"/>
      <c r="H168" s="441"/>
      <c r="I168" s="451"/>
      <c r="J168" s="450"/>
      <c r="K168" s="434"/>
      <c r="L168" s="434"/>
      <c r="M168" s="444"/>
      <c r="N168" s="444"/>
      <c r="O168" s="434"/>
      <c r="R168" s="434"/>
      <c r="S168" s="434"/>
      <c r="T168" s="434"/>
      <c r="U168" s="434"/>
      <c r="V168" s="434"/>
      <c r="W168" s="434"/>
      <c r="X168" s="434"/>
      <c r="Y168" s="370"/>
      <c r="Z168" s="370"/>
      <c r="AA168" s="370"/>
      <c r="AB168" s="370"/>
      <c r="AC168" s="465"/>
      <c r="AD168" s="384"/>
      <c r="AE168" s="384"/>
      <c r="AF168" s="374"/>
    </row>
    <row r="169" spans="1:32" s="402" customFormat="1" x14ac:dyDescent="0.2">
      <c r="A169" s="370"/>
      <c r="B169" s="370"/>
      <c r="C169" s="370"/>
      <c r="D169" s="568"/>
      <c r="E169" s="484"/>
      <c r="F169" s="370"/>
      <c r="G169" s="370"/>
      <c r="H169" s="393"/>
      <c r="I169" s="370"/>
      <c r="J169" s="370"/>
      <c r="K169" s="370"/>
      <c r="L169" s="370"/>
      <c r="M169" s="385"/>
      <c r="N169" s="385"/>
      <c r="O169" s="370"/>
      <c r="R169" s="370"/>
      <c r="S169" s="370"/>
      <c r="T169" s="370"/>
      <c r="U169" s="370"/>
      <c r="V169" s="370"/>
      <c r="W169" s="370"/>
      <c r="X169" s="370"/>
      <c r="Y169" s="370"/>
      <c r="Z169" s="370"/>
      <c r="AA169" s="370"/>
      <c r="AB169" s="370"/>
      <c r="AC169" s="465"/>
      <c r="AD169" s="384"/>
      <c r="AE169" s="384"/>
      <c r="AF169" s="374"/>
    </row>
    <row r="170" spans="1:32" s="402" customFormat="1" x14ac:dyDescent="0.2">
      <c r="A170" s="370"/>
      <c r="B170" s="370"/>
      <c r="C170" s="370"/>
      <c r="D170" s="370"/>
      <c r="E170" s="370"/>
      <c r="F170" s="370"/>
      <c r="G170" s="370"/>
      <c r="H170" s="370"/>
      <c r="I170" s="370"/>
      <c r="J170" s="370"/>
      <c r="K170" s="370"/>
      <c r="L170" s="370"/>
      <c r="M170" s="385"/>
      <c r="N170" s="385"/>
      <c r="O170" s="370"/>
      <c r="R170" s="370"/>
      <c r="S170" s="370"/>
      <c r="T170" s="370"/>
      <c r="U170" s="370"/>
      <c r="V170" s="370"/>
      <c r="W170" s="370"/>
      <c r="X170" s="370"/>
      <c r="Y170" s="370"/>
      <c r="Z170" s="370"/>
      <c r="AA170" s="370"/>
      <c r="AB170" s="370"/>
      <c r="AC170" s="465"/>
      <c r="AD170" s="384"/>
      <c r="AE170" s="384"/>
      <c r="AF170" s="379"/>
    </row>
    <row r="171" spans="1:32" s="402" customFormat="1" x14ac:dyDescent="0.2">
      <c r="A171" s="370"/>
      <c r="B171" s="370"/>
      <c r="C171" s="370"/>
      <c r="D171" s="370"/>
      <c r="E171" s="370"/>
      <c r="F171" s="370"/>
      <c r="G171" s="370"/>
      <c r="H171" s="370"/>
      <c r="I171" s="370"/>
      <c r="J171" s="370"/>
      <c r="K171" s="370"/>
      <c r="L171" s="370"/>
      <c r="M171" s="385"/>
      <c r="N171" s="385"/>
      <c r="O171" s="370"/>
      <c r="R171" s="370"/>
      <c r="S171" s="370"/>
      <c r="T171" s="370"/>
      <c r="U171" s="370"/>
      <c r="V171" s="370"/>
      <c r="W171" s="370"/>
      <c r="X171" s="370"/>
      <c r="Y171" s="370"/>
      <c r="Z171" s="370"/>
      <c r="AA171" s="370"/>
      <c r="AB171" s="370"/>
      <c r="AC171" s="465"/>
      <c r="AD171" s="384"/>
      <c r="AE171" s="384"/>
      <c r="AF171" s="381"/>
    </row>
    <row r="172" spans="1:32" s="402" customFormat="1" x14ac:dyDescent="0.2">
      <c r="A172" s="370"/>
      <c r="B172" s="370"/>
      <c r="C172" s="370"/>
      <c r="D172" s="370"/>
      <c r="E172" s="370"/>
      <c r="F172" s="370"/>
      <c r="G172" s="370"/>
      <c r="H172" s="370"/>
      <c r="I172" s="370"/>
      <c r="J172" s="370"/>
      <c r="K172" s="370"/>
      <c r="L172" s="370"/>
      <c r="M172" s="385"/>
      <c r="N172" s="385"/>
      <c r="O172" s="370"/>
      <c r="R172" s="370"/>
      <c r="S172" s="370"/>
      <c r="T172" s="370"/>
      <c r="U172" s="370"/>
      <c r="V172" s="370"/>
      <c r="W172" s="370"/>
      <c r="X172" s="370"/>
      <c r="Y172" s="370"/>
      <c r="Z172" s="370"/>
      <c r="AA172" s="370"/>
      <c r="AB172" s="370"/>
      <c r="AC172" s="465"/>
      <c r="AD172" s="384"/>
      <c r="AE172" s="384"/>
      <c r="AF172" s="370"/>
    </row>
    <row r="173" spans="1:32" s="402" customFormat="1" x14ac:dyDescent="0.2">
      <c r="A173" s="370"/>
      <c r="B173" s="370"/>
      <c r="C173" s="370"/>
      <c r="D173" s="370"/>
      <c r="E173" s="370"/>
      <c r="F173" s="370"/>
      <c r="G173" s="370"/>
      <c r="H173" s="370"/>
      <c r="I173" s="370"/>
      <c r="J173" s="370"/>
      <c r="K173" s="370"/>
      <c r="L173" s="370"/>
      <c r="M173" s="385"/>
      <c r="N173" s="385"/>
      <c r="O173" s="370"/>
      <c r="R173" s="370"/>
      <c r="S173" s="370"/>
      <c r="T173" s="370"/>
      <c r="U173" s="370"/>
      <c r="V173" s="370"/>
      <c r="W173" s="370"/>
      <c r="X173" s="370"/>
      <c r="Y173" s="370"/>
      <c r="Z173" s="370"/>
      <c r="AA173" s="370"/>
      <c r="AB173" s="370"/>
      <c r="AC173" s="465"/>
      <c r="AD173" s="384"/>
      <c r="AE173" s="384"/>
      <c r="AF173" s="382"/>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65"/>
      <c r="AD174" s="384"/>
      <c r="AE174" s="384"/>
      <c r="AF174" s="382"/>
    </row>
    <row r="175" spans="1:32" s="402" customFormat="1" x14ac:dyDescent="0.2">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65"/>
      <c r="AD175" s="387"/>
      <c r="AE175" s="387"/>
      <c r="AF175" s="370"/>
    </row>
    <row r="176" spans="1:32" s="402" customFormat="1" x14ac:dyDescent="0.2">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65"/>
      <c r="AD176" s="388"/>
      <c r="AE176" s="388"/>
      <c r="AF176" s="383"/>
    </row>
    <row r="177" spans="1:32" s="402" customFormat="1" x14ac:dyDescent="0.2">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65"/>
      <c r="AD177" s="388"/>
      <c r="AE177" s="388"/>
      <c r="AF177" s="384"/>
    </row>
    <row r="178" spans="1:32" s="402" customFormat="1" x14ac:dyDescent="0.2">
      <c r="A178" s="370"/>
      <c r="B178" s="370"/>
      <c r="C178" s="370"/>
      <c r="D178" s="370"/>
      <c r="E178" s="370"/>
      <c r="F178" s="370"/>
      <c r="G178" s="370"/>
      <c r="H178" s="370"/>
      <c r="I178" s="370"/>
      <c r="L178" s="370"/>
      <c r="M178" s="385"/>
      <c r="N178" s="385"/>
      <c r="O178" s="370"/>
      <c r="R178" s="370"/>
      <c r="S178" s="370"/>
      <c r="T178" s="370"/>
      <c r="U178" s="370"/>
      <c r="V178" s="370"/>
      <c r="W178" s="370"/>
      <c r="X178" s="370"/>
      <c r="Y178" s="370"/>
      <c r="Z178" s="370"/>
      <c r="AA178" s="370"/>
      <c r="AB178" s="370"/>
      <c r="AC178" s="465"/>
      <c r="AD178" s="388"/>
      <c r="AE178" s="388"/>
      <c r="AF178" s="384"/>
    </row>
    <row r="179" spans="1:32" s="402" customFormat="1" x14ac:dyDescent="0.2">
      <c r="A179" s="370"/>
      <c r="B179" s="370"/>
      <c r="C179" s="370"/>
      <c r="D179" s="370"/>
      <c r="E179" s="370"/>
      <c r="F179" s="370"/>
      <c r="G179" s="370"/>
      <c r="H179" s="370"/>
      <c r="I179" s="370"/>
      <c r="L179" s="370"/>
      <c r="M179" s="385"/>
      <c r="N179" s="385"/>
      <c r="O179" s="370"/>
      <c r="R179" s="370"/>
      <c r="S179" s="370"/>
      <c r="T179" s="370"/>
      <c r="U179" s="370"/>
      <c r="V179" s="370"/>
      <c r="W179" s="370"/>
      <c r="X179" s="370"/>
      <c r="Y179" s="370"/>
      <c r="Z179" s="370"/>
      <c r="AA179" s="370"/>
      <c r="AB179" s="370"/>
      <c r="AC179" s="465"/>
      <c r="AD179" s="388"/>
      <c r="AE179" s="388"/>
      <c r="AF179" s="384"/>
    </row>
    <row r="180" spans="1:32" s="402" customFormat="1" x14ac:dyDescent="0.2">
      <c r="A180" s="370"/>
      <c r="B180" s="370"/>
      <c r="C180" s="370"/>
      <c r="D180" s="370"/>
      <c r="E180" s="370"/>
      <c r="F180" s="370"/>
      <c r="G180" s="370"/>
      <c r="H180" s="370"/>
      <c r="I180" s="370"/>
      <c r="L180" s="370"/>
      <c r="M180" s="385"/>
      <c r="N180" s="385"/>
      <c r="O180" s="370"/>
      <c r="R180" s="370"/>
      <c r="S180" s="370"/>
      <c r="T180" s="370"/>
      <c r="U180" s="370"/>
      <c r="V180" s="370"/>
      <c r="W180" s="370"/>
      <c r="X180" s="370"/>
      <c r="Y180" s="370"/>
      <c r="Z180" s="370"/>
      <c r="AA180" s="370"/>
      <c r="AB180" s="370"/>
      <c r="AC180" s="465"/>
      <c r="AD180" s="388"/>
      <c r="AE180" s="391"/>
      <c r="AF180" s="384"/>
    </row>
    <row r="181" spans="1:32" s="402" customFormat="1" x14ac:dyDescent="0.2">
      <c r="A181" s="370"/>
      <c r="B181" s="370"/>
      <c r="C181" s="370"/>
      <c r="D181" s="370"/>
      <c r="E181" s="370"/>
      <c r="F181" s="370"/>
      <c r="G181" s="370"/>
      <c r="H181" s="370"/>
      <c r="I181" s="370"/>
      <c r="L181" s="370"/>
      <c r="M181" s="385"/>
      <c r="N181" s="385"/>
      <c r="O181" s="370"/>
      <c r="R181" s="370"/>
      <c r="S181" s="370"/>
      <c r="T181" s="370"/>
      <c r="U181" s="370"/>
      <c r="V181" s="370"/>
      <c r="W181" s="370"/>
      <c r="X181" s="370"/>
      <c r="Y181" s="370"/>
      <c r="Z181" s="370"/>
      <c r="AA181" s="370"/>
      <c r="AB181" s="370"/>
      <c r="AC181" s="465"/>
      <c r="AD181" s="388"/>
      <c r="AE181" s="391"/>
      <c r="AF181" s="384"/>
    </row>
    <row r="182" spans="1:32" s="402" customFormat="1" x14ac:dyDescent="0.2">
      <c r="A182" s="370"/>
      <c r="B182" s="370"/>
      <c r="C182" s="370"/>
      <c r="D182" s="370"/>
      <c r="E182" s="370"/>
      <c r="F182" s="370"/>
      <c r="G182" s="370"/>
      <c r="H182" s="370"/>
      <c r="I182" s="370"/>
      <c r="L182" s="370"/>
      <c r="M182" s="385"/>
      <c r="N182" s="385"/>
      <c r="O182" s="370"/>
      <c r="R182" s="370"/>
      <c r="S182" s="370"/>
      <c r="T182" s="370"/>
      <c r="U182" s="370"/>
      <c r="V182" s="370"/>
      <c r="W182" s="370"/>
      <c r="X182" s="370"/>
      <c r="Y182" s="370"/>
      <c r="Z182" s="370"/>
      <c r="AA182" s="370"/>
      <c r="AB182" s="370"/>
      <c r="AC182" s="465"/>
      <c r="AD182" s="388"/>
      <c r="AE182" s="391"/>
      <c r="AF182" s="384"/>
    </row>
    <row r="183" spans="1:32" s="402" customFormat="1" x14ac:dyDescent="0.2">
      <c r="A183" s="370"/>
      <c r="B183" s="370"/>
      <c r="C183" s="370"/>
      <c r="D183" s="370"/>
      <c r="E183" s="370"/>
      <c r="F183" s="370"/>
      <c r="G183" s="370"/>
      <c r="H183" s="370"/>
      <c r="I183" s="370"/>
      <c r="L183" s="370"/>
      <c r="M183" s="385"/>
      <c r="N183" s="385"/>
      <c r="O183" s="370"/>
      <c r="R183" s="370"/>
      <c r="S183" s="370"/>
      <c r="T183" s="370"/>
      <c r="U183" s="370"/>
      <c r="V183" s="370"/>
      <c r="W183" s="370"/>
      <c r="X183" s="370"/>
      <c r="Y183" s="370"/>
      <c r="Z183" s="370"/>
      <c r="AA183" s="370"/>
      <c r="AB183" s="370"/>
      <c r="AC183" s="465"/>
      <c r="AD183" s="388"/>
      <c r="AE183" s="391"/>
      <c r="AF183" s="384"/>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88"/>
      <c r="AE184" s="391"/>
      <c r="AF184" s="386"/>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91"/>
      <c r="AE185" s="391"/>
      <c r="AF185" s="388"/>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91"/>
      <c r="AE186" s="391"/>
      <c r="AF186" s="388"/>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91"/>
      <c r="AE187" s="391"/>
      <c r="AF187" s="388"/>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65"/>
      <c r="AD188" s="391"/>
      <c r="AE188" s="391"/>
      <c r="AF188" s="388"/>
    </row>
    <row r="189" spans="1:32" s="402" customFormat="1" x14ac:dyDescent="0.2">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65"/>
      <c r="AD189" s="391"/>
      <c r="AE189" s="391"/>
      <c r="AF189" s="389"/>
    </row>
    <row r="190" spans="1:32" s="402" customFormat="1" x14ac:dyDescent="0.2">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65"/>
      <c r="AD190" s="389"/>
      <c r="AE190" s="390"/>
      <c r="AF190" s="384"/>
    </row>
    <row r="191" spans="1:32" s="402" customFormat="1" x14ac:dyDescent="0.2">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65"/>
      <c r="AD191" s="389"/>
      <c r="AE191" s="389"/>
      <c r="AF191" s="386"/>
    </row>
    <row r="192" spans="1:32" s="402" customFormat="1" x14ac:dyDescent="0.2">
      <c r="A192" s="370"/>
      <c r="B192" s="370"/>
      <c r="C192" s="370"/>
      <c r="D192" s="370"/>
      <c r="E192" s="370"/>
      <c r="F192" s="370"/>
      <c r="G192" s="370"/>
      <c r="H192" s="370"/>
      <c r="I192" s="370"/>
      <c r="L192" s="370"/>
      <c r="M192" s="385"/>
      <c r="N192" s="385"/>
      <c r="O192" s="370"/>
      <c r="P192" s="370"/>
      <c r="Q192" s="370"/>
      <c r="R192" s="370"/>
      <c r="S192" s="370"/>
      <c r="T192" s="370"/>
      <c r="U192" s="370"/>
      <c r="V192" s="370"/>
      <c r="W192" s="370"/>
      <c r="X192" s="370"/>
      <c r="Y192" s="370"/>
      <c r="Z192" s="370"/>
      <c r="AA192" s="370"/>
      <c r="AB192" s="370"/>
      <c r="AC192" s="465"/>
      <c r="AD192" s="389"/>
      <c r="AE192" s="392"/>
      <c r="AF192" s="388"/>
    </row>
    <row r="193" spans="1:32" s="402" customFormat="1" x14ac:dyDescent="0.2">
      <c r="A193" s="370"/>
      <c r="B193" s="370"/>
      <c r="C193" s="370"/>
      <c r="D193" s="370"/>
      <c r="E193" s="370"/>
      <c r="F193" s="370"/>
      <c r="G193" s="370"/>
      <c r="H193" s="370"/>
      <c r="I193" s="370"/>
      <c r="L193" s="370"/>
      <c r="M193" s="385"/>
      <c r="N193" s="385"/>
      <c r="O193" s="370"/>
      <c r="P193" s="370"/>
      <c r="Q193" s="370"/>
      <c r="R193" s="370"/>
      <c r="S193" s="370"/>
      <c r="T193" s="370"/>
      <c r="U193" s="370"/>
      <c r="V193" s="370"/>
      <c r="W193" s="370"/>
      <c r="X193" s="370"/>
      <c r="Y193" s="370"/>
      <c r="Z193" s="370"/>
      <c r="AA193" s="370"/>
      <c r="AB193" s="370"/>
      <c r="AC193" s="465"/>
      <c r="AD193" s="389"/>
      <c r="AE193" s="390"/>
      <c r="AF193" s="388"/>
    </row>
    <row r="194" spans="1:32" s="402" customFormat="1" x14ac:dyDescent="0.2">
      <c r="A194" s="370"/>
      <c r="B194" s="370"/>
      <c r="C194" s="370"/>
      <c r="D194" s="370"/>
      <c r="E194" s="370"/>
      <c r="F194" s="370"/>
      <c r="G194" s="370"/>
      <c r="H194" s="370"/>
      <c r="I194" s="370"/>
      <c r="L194" s="370"/>
      <c r="M194" s="385"/>
      <c r="N194" s="385"/>
      <c r="O194" s="370"/>
      <c r="P194" s="370"/>
      <c r="Q194" s="370"/>
      <c r="R194" s="370"/>
      <c r="S194" s="370"/>
      <c r="T194" s="370"/>
      <c r="U194" s="370"/>
      <c r="V194" s="370"/>
      <c r="W194" s="370"/>
      <c r="X194" s="370"/>
      <c r="Y194" s="370"/>
      <c r="Z194" s="370"/>
      <c r="AA194" s="370"/>
      <c r="AB194" s="370"/>
      <c r="AC194" s="465"/>
      <c r="AD194" s="389"/>
      <c r="AE194" s="390"/>
      <c r="AF194" s="388"/>
    </row>
    <row r="195" spans="1:32" s="402" customFormat="1" x14ac:dyDescent="0.2">
      <c r="A195" s="370"/>
      <c r="B195" s="370"/>
      <c r="C195" s="370"/>
      <c r="D195" s="370"/>
      <c r="E195" s="370"/>
      <c r="F195" s="370"/>
      <c r="G195" s="370"/>
      <c r="H195" s="370"/>
      <c r="I195" s="370"/>
      <c r="L195" s="370"/>
      <c r="M195" s="385"/>
      <c r="N195" s="385"/>
      <c r="O195" s="370"/>
      <c r="P195" s="370"/>
      <c r="Q195" s="370"/>
      <c r="R195" s="370"/>
      <c r="S195" s="370"/>
      <c r="T195" s="370"/>
      <c r="U195" s="370"/>
      <c r="V195" s="370"/>
      <c r="W195" s="370"/>
      <c r="X195" s="370"/>
      <c r="Y195" s="370"/>
      <c r="Z195" s="370"/>
      <c r="AA195" s="370"/>
      <c r="AB195" s="370"/>
      <c r="AC195" s="465"/>
      <c r="AD195" s="389"/>
      <c r="AE195" s="390"/>
      <c r="AF195" s="388"/>
    </row>
    <row r="196" spans="1:32" s="402" customFormat="1" x14ac:dyDescent="0.2">
      <c r="A196" s="370"/>
      <c r="B196" s="370"/>
      <c r="C196" s="370"/>
      <c r="D196" s="370"/>
      <c r="E196" s="370"/>
      <c r="F196" s="370"/>
      <c r="G196" s="370"/>
      <c r="H196" s="370"/>
      <c r="I196" s="370"/>
      <c r="L196" s="370"/>
      <c r="M196" s="385"/>
      <c r="N196" s="385"/>
      <c r="O196" s="370"/>
      <c r="P196" s="370"/>
      <c r="Q196" s="370"/>
      <c r="R196" s="370"/>
      <c r="S196" s="370"/>
      <c r="T196" s="370"/>
      <c r="U196" s="370"/>
      <c r="V196" s="370"/>
      <c r="W196" s="370"/>
      <c r="X196" s="370"/>
      <c r="Y196" s="370"/>
      <c r="Z196" s="370"/>
      <c r="AA196" s="370"/>
      <c r="AB196" s="370"/>
      <c r="AC196" s="465"/>
      <c r="AD196" s="389"/>
      <c r="AE196" s="389"/>
      <c r="AF196" s="388"/>
    </row>
    <row r="197" spans="1:32" s="402" customFormat="1" x14ac:dyDescent="0.2">
      <c r="A197" s="370"/>
      <c r="B197" s="370"/>
      <c r="C197" s="370"/>
      <c r="D197" s="370"/>
      <c r="E197" s="370"/>
      <c r="F197" s="370"/>
      <c r="G197" s="370"/>
      <c r="H197" s="370"/>
      <c r="I197" s="370"/>
      <c r="L197" s="370"/>
      <c r="M197" s="385"/>
      <c r="N197" s="385"/>
      <c r="O197" s="370"/>
      <c r="P197" s="370"/>
      <c r="Q197" s="370"/>
      <c r="R197" s="370"/>
      <c r="S197" s="370"/>
      <c r="T197" s="370"/>
      <c r="U197" s="370"/>
      <c r="V197" s="370"/>
      <c r="W197" s="370"/>
      <c r="X197" s="370"/>
      <c r="Y197" s="370"/>
      <c r="Z197" s="370"/>
      <c r="AA197" s="370"/>
      <c r="AB197" s="370"/>
      <c r="AC197" s="465"/>
      <c r="AD197" s="389"/>
      <c r="AE197" s="392"/>
      <c r="AF197" s="388"/>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89"/>
      <c r="AE198" s="390"/>
      <c r="AF198" s="388"/>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91"/>
      <c r="AE199" s="389"/>
      <c r="AF199" s="388"/>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91"/>
      <c r="AE200" s="389"/>
      <c r="AF200" s="388"/>
    </row>
    <row r="201" spans="1:32" s="402" customFormat="1" ht="12.75"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91"/>
      <c r="AE201" s="389"/>
      <c r="AF201" s="391"/>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91"/>
    </row>
    <row r="203" spans="1:32" s="402" customForma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91"/>
    </row>
    <row r="204" spans="1:32" s="402" customForma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91"/>
    </row>
    <row r="205" spans="1:32" s="402" customForma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91"/>
    </row>
    <row r="206" spans="1:32" s="402" customForma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91"/>
    </row>
    <row r="207" spans="1:32" s="402" customForma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91"/>
    </row>
    <row r="208" spans="1:32" s="402" customForma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91"/>
    </row>
    <row r="209" spans="1:32" s="402" customForma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2" s="402" customForma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2" s="402" customForma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2"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2"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2"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2"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2"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2"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2"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2"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2"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2"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2" s="402" customFormat="1" ht="12" customHeigh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2" s="402" customFormat="1" ht="12" customHeigh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2" s="402" customFormat="1" ht="12" customHeigh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3" s="402" customFormat="1" ht="12" customHeigh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3" s="402" customFormat="1" ht="12" customHeigh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3" s="402" customFormat="1" ht="12" customHeigh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3" s="402" customFormat="1" ht="12" customHeigh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3" s="402" customFormat="1" ht="12" customHeigh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3" s="402" customFormat="1" ht="12" customHeigh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c r="AG232" s="402"/>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c r="AG233" s="402"/>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c r="AG234" s="402"/>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c r="AG235" s="402"/>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c r="AG236" s="402"/>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c r="AG237" s="402"/>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c r="AG238" s="402"/>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c r="AG239" s="402"/>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G240" s="402"/>
    </row>
    <row r="241" spans="1:32"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2"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2"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2"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2"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2"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2"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2"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row>
    <row r="249" spans="1:32"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row>
    <row r="250" spans="1:32"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row>
    <row r="251" spans="1:32"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row>
    <row r="252" spans="1:32"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row>
    <row r="253" spans="1:32"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row>
    <row r="254" spans="1:32"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row>
    <row r="255" spans="1:32"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row>
    <row r="256" spans="1:32"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H258" s="398"/>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403"/>
      <c r="AH259" s="398"/>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403"/>
      <c r="AH260" s="400"/>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403"/>
      <c r="AH261" s="398"/>
    </row>
    <row r="262" spans="1:34" s="356" customFormat="1" ht="14.25" customHeigh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403"/>
      <c r="AH262" s="397"/>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H263" s="397"/>
    </row>
    <row r="264" spans="1:34" s="404" customFormat="1" ht="12" customHeigh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56"/>
      <c r="AH264" s="398"/>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H265" s="398"/>
    </row>
    <row r="266" spans="1:34" s="356" customFormat="1" ht="17.25" customHeigh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H266" s="398"/>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H267" s="388"/>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97"/>
      <c r="AH268" s="369"/>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97"/>
      <c r="AH269" s="369"/>
    </row>
    <row r="270" spans="1:34" s="356" customFormat="1" ht="13.5"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95"/>
      <c r="AH270" s="370"/>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68"/>
      <c r="AH271" s="370"/>
    </row>
    <row r="272" spans="1:34" s="35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68"/>
      <c r="AH272" s="370"/>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68"/>
      <c r="AH273" s="370"/>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75"/>
      <c r="AH274" s="377"/>
    </row>
    <row r="275" spans="1:34" s="356" customFormat="1" ht="15.75" customHeigh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75"/>
      <c r="AH275" s="381"/>
    </row>
    <row r="276" spans="1:34" s="356" customFormat="1" ht="15.75" customHeigh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75"/>
      <c r="AH276" s="370"/>
    </row>
    <row r="277" spans="1:34" s="356" customFormat="1" ht="12.75" customHeigh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0"/>
      <c r="AH277" s="382"/>
    </row>
    <row r="278" spans="1:34" s="356"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1"/>
      <c r="AH278" s="382"/>
    </row>
    <row r="279" spans="1:34" s="356"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70"/>
      <c r="AH279" s="370"/>
    </row>
    <row r="280" spans="1:34" s="356" customForma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2"/>
      <c r="AH280" s="383"/>
    </row>
    <row r="281" spans="1:34" s="356" customForma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65"/>
      <c r="AD281" s="370"/>
      <c r="AE281" s="374"/>
      <c r="AF281" s="370"/>
      <c r="AG281" s="382"/>
      <c r="AH281" s="384"/>
    </row>
    <row r="282" spans="1:34" s="356" customForma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65"/>
      <c r="AD282" s="370"/>
      <c r="AE282" s="374"/>
      <c r="AF282" s="370"/>
      <c r="AG282" s="370"/>
      <c r="AH282" s="384"/>
    </row>
    <row r="283" spans="1:34" s="356" customFormat="1" ht="14.25" customHeigh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3"/>
      <c r="AH283" s="384"/>
    </row>
    <row r="284" spans="1:34" s="356" customForma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65"/>
      <c r="AD284" s="370"/>
      <c r="AE284" s="374"/>
      <c r="AF284" s="370"/>
      <c r="AG284" s="384"/>
      <c r="AH284" s="384"/>
    </row>
    <row r="285" spans="1:34" s="356" customFormat="1" x14ac:dyDescent="0.2">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65"/>
      <c r="AD285" s="370"/>
      <c r="AE285" s="374"/>
      <c r="AF285" s="370"/>
      <c r="AG285" s="384"/>
      <c r="AH285" s="384"/>
    </row>
    <row r="286" spans="1:34" s="376"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4"/>
      <c r="AH286" s="384"/>
    </row>
    <row r="287" spans="1:34" s="376" customFormat="1" ht="12" customHeigh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4"/>
    </row>
    <row r="288" spans="1:34" s="376"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4"/>
    </row>
    <row r="289" spans="1:33" s="377" customFormat="1" ht="11.25" customHeigh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4"/>
    </row>
    <row r="290" spans="1:33" s="381"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4"/>
    </row>
    <row r="291" spans="1:33" x14ac:dyDescent="0.2">
      <c r="AG291" s="386"/>
    </row>
    <row r="292" spans="1:33" s="382"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8"/>
    </row>
    <row r="293" spans="1:33" s="382"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8"/>
    </row>
    <row r="294" spans="1:33" x14ac:dyDescent="0.2">
      <c r="AG294" s="388"/>
    </row>
    <row r="295" spans="1:33" x14ac:dyDescent="0.2">
      <c r="AG295" s="388"/>
    </row>
    <row r="296" spans="1:33" s="385" customFormat="1" x14ac:dyDescent="0.2">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65"/>
      <c r="AD296" s="370"/>
      <c r="AE296" s="374"/>
      <c r="AF296" s="370"/>
      <c r="AG296" s="390"/>
    </row>
    <row r="297" spans="1:33" s="385" customFormat="1" x14ac:dyDescent="0.2">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65"/>
      <c r="AD297" s="370"/>
      <c r="AE297" s="374"/>
      <c r="AF297" s="370"/>
      <c r="AG297" s="376"/>
    </row>
    <row r="298" spans="1:33" s="385" customFormat="1" x14ac:dyDescent="0.2">
      <c r="A298" s="370"/>
      <c r="B298" s="370"/>
      <c r="C298" s="370"/>
      <c r="D298" s="370"/>
      <c r="E298" s="370"/>
      <c r="F298" s="370"/>
      <c r="G298" s="370"/>
      <c r="H298" s="370"/>
      <c r="I298" s="370"/>
      <c r="J298" s="370"/>
      <c r="K298" s="370"/>
      <c r="L298" s="370"/>
      <c r="O298" s="370"/>
      <c r="P298" s="370"/>
      <c r="Q298" s="370"/>
      <c r="R298" s="370"/>
      <c r="S298" s="370"/>
      <c r="T298" s="370"/>
      <c r="U298" s="370"/>
      <c r="V298" s="370"/>
      <c r="W298" s="370"/>
      <c r="X298" s="370"/>
      <c r="Y298" s="370"/>
      <c r="Z298" s="370"/>
      <c r="AA298" s="370"/>
      <c r="AB298" s="370"/>
      <c r="AC298" s="465"/>
      <c r="AD298" s="370"/>
      <c r="AE298" s="374"/>
      <c r="AF298" s="370"/>
      <c r="AG298" s="376"/>
    </row>
    <row r="299" spans="1:33" s="385" customFormat="1" x14ac:dyDescent="0.2">
      <c r="A299" s="370"/>
      <c r="B299" s="370"/>
      <c r="C299" s="370"/>
      <c r="D299" s="370"/>
      <c r="E299" s="370"/>
      <c r="F299" s="370"/>
      <c r="G299" s="370"/>
      <c r="H299" s="370"/>
      <c r="I299" s="370"/>
      <c r="J299" s="370"/>
      <c r="K299" s="370"/>
      <c r="L299" s="370"/>
      <c r="O299" s="370"/>
      <c r="P299" s="370"/>
      <c r="Q299" s="370"/>
      <c r="R299" s="370"/>
      <c r="S299" s="370"/>
      <c r="T299" s="370"/>
      <c r="U299" s="370"/>
      <c r="V299" s="370"/>
      <c r="W299" s="370"/>
      <c r="X299" s="370"/>
      <c r="Y299" s="370"/>
      <c r="Z299" s="370"/>
      <c r="AA299" s="370"/>
      <c r="AB299" s="370"/>
      <c r="AC299" s="465"/>
      <c r="AD299" s="370"/>
      <c r="AE299" s="374"/>
      <c r="AF299" s="370"/>
      <c r="AG299" s="377"/>
    </row>
    <row r="300" spans="1:33" s="385" customFormat="1" x14ac:dyDescent="0.2">
      <c r="A300" s="370"/>
      <c r="B300" s="370"/>
      <c r="C300" s="370"/>
      <c r="D300" s="370"/>
      <c r="E300" s="370"/>
      <c r="F300" s="370"/>
      <c r="G300" s="370"/>
      <c r="H300" s="370"/>
      <c r="I300" s="370"/>
      <c r="J300" s="370"/>
      <c r="K300" s="370"/>
      <c r="L300" s="370"/>
      <c r="O300" s="370"/>
      <c r="P300" s="370"/>
      <c r="Q300" s="370"/>
      <c r="R300" s="370"/>
      <c r="S300" s="370"/>
      <c r="T300" s="370"/>
      <c r="U300" s="370"/>
      <c r="V300" s="370"/>
      <c r="W300" s="370"/>
      <c r="X300" s="370"/>
      <c r="Y300" s="370"/>
      <c r="Z300" s="370"/>
      <c r="AA300" s="370"/>
      <c r="AB300" s="370"/>
      <c r="AC300" s="465"/>
      <c r="AD300" s="370"/>
      <c r="AE300" s="374"/>
      <c r="AF300" s="370"/>
      <c r="AG300" s="381"/>
    </row>
    <row r="301" spans="1:33" s="385" customFormat="1" x14ac:dyDescent="0.2">
      <c r="A301" s="370"/>
      <c r="B301" s="370"/>
      <c r="C301" s="370"/>
      <c r="D301" s="370"/>
      <c r="E301" s="370"/>
      <c r="F301" s="370"/>
      <c r="G301" s="370"/>
      <c r="H301" s="370"/>
      <c r="I301" s="370"/>
      <c r="J301" s="370"/>
      <c r="K301" s="370"/>
      <c r="L301" s="370"/>
      <c r="O301" s="370"/>
      <c r="P301" s="370"/>
      <c r="Q301" s="370"/>
      <c r="R301" s="370"/>
      <c r="S301" s="370"/>
      <c r="T301" s="370"/>
      <c r="U301" s="370"/>
      <c r="V301" s="370"/>
      <c r="W301" s="370"/>
      <c r="X301" s="370"/>
      <c r="Y301" s="370"/>
      <c r="Z301" s="370"/>
      <c r="AA301" s="370"/>
      <c r="AB301" s="370"/>
      <c r="AC301" s="465"/>
      <c r="AD301" s="370"/>
      <c r="AE301" s="374"/>
      <c r="AF301" s="370"/>
      <c r="AG301" s="370"/>
    </row>
    <row r="302" spans="1:33" s="385" customFormat="1" x14ac:dyDescent="0.2">
      <c r="A302" s="370"/>
      <c r="B302" s="370"/>
      <c r="C302" s="370"/>
      <c r="D302" s="370"/>
      <c r="E302" s="370"/>
      <c r="F302" s="370"/>
      <c r="G302" s="370"/>
      <c r="H302" s="370"/>
      <c r="I302" s="370"/>
      <c r="J302" s="370"/>
      <c r="K302" s="370"/>
      <c r="L302" s="370"/>
      <c r="O302" s="370"/>
      <c r="P302" s="370"/>
      <c r="Q302" s="370"/>
      <c r="R302" s="370"/>
      <c r="S302" s="370"/>
      <c r="T302" s="370"/>
      <c r="U302" s="370"/>
      <c r="V302" s="370"/>
      <c r="W302" s="370"/>
      <c r="X302" s="370"/>
      <c r="Y302" s="370"/>
      <c r="Z302" s="370"/>
      <c r="AA302" s="370"/>
      <c r="AB302" s="370"/>
      <c r="AC302" s="465"/>
      <c r="AD302" s="370"/>
      <c r="AE302" s="374"/>
      <c r="AF302" s="370"/>
      <c r="AG302" s="382"/>
    </row>
    <row r="303" spans="1:33" s="385" customFormat="1" x14ac:dyDescent="0.2">
      <c r="A303" s="370"/>
      <c r="B303" s="370"/>
      <c r="C303" s="370"/>
      <c r="D303" s="370"/>
      <c r="E303" s="370"/>
      <c r="F303" s="370"/>
      <c r="G303" s="370"/>
      <c r="H303" s="370"/>
      <c r="I303" s="370"/>
      <c r="J303" s="370"/>
      <c r="K303" s="370"/>
      <c r="L303" s="370"/>
      <c r="O303" s="370"/>
      <c r="P303" s="370"/>
      <c r="Q303" s="370"/>
      <c r="R303" s="370"/>
      <c r="S303" s="370"/>
      <c r="T303" s="370"/>
      <c r="U303" s="370"/>
      <c r="V303" s="370"/>
      <c r="W303" s="370"/>
      <c r="X303" s="370"/>
      <c r="Y303" s="370"/>
      <c r="Z303" s="370"/>
      <c r="AA303" s="370"/>
      <c r="AB303" s="370"/>
      <c r="AC303" s="465"/>
      <c r="AD303" s="370"/>
      <c r="AE303" s="374"/>
      <c r="AF303" s="370"/>
      <c r="AG303" s="382"/>
    </row>
    <row r="305" spans="1:33" s="383"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70"/>
    </row>
    <row r="306" spans="1:33" s="384"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5"/>
    </row>
    <row r="307" spans="1:33" s="384"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5"/>
    </row>
    <row r="308" spans="1:33" s="384"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5"/>
    </row>
    <row r="309" spans="1:33" s="384"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5"/>
    </row>
    <row r="310" spans="1:33" s="384"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5"/>
    </row>
    <row r="311" spans="1:33" s="384"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5"/>
    </row>
    <row r="312" spans="1:33" s="384"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5"/>
    </row>
    <row r="313" spans="1:33" s="387"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5"/>
    </row>
    <row r="314" spans="1:33" s="388" customFormat="1" ht="12.75" customHeigh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70"/>
    </row>
    <row r="315" spans="1:33" s="388" customFormat="1" ht="12.75" customHeigh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3"/>
    </row>
    <row r="316" spans="1:33" s="388" customFormat="1" ht="12.75" customHeigh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4"/>
    </row>
    <row r="317" spans="1:33" s="388" customFormat="1" ht="12.75" customHeigh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4"/>
    </row>
    <row r="318" spans="1:33" s="388" customFormat="1" ht="12.75" customHeigh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4"/>
    </row>
    <row r="319" spans="1:33" s="388" customFormat="1" ht="12.75" customHeigh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4"/>
    </row>
    <row r="320" spans="1:33" s="388" customFormat="1" ht="12.75" customHeigh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4"/>
    </row>
    <row r="321" spans="1:33" s="388" customFormat="1" ht="12.75" customHeigh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65"/>
      <c r="AD321" s="370"/>
      <c r="AE321" s="374"/>
      <c r="AF321" s="370"/>
      <c r="AG321" s="384"/>
    </row>
    <row r="322" spans="1:33" s="388" customFormat="1" ht="12.75" customHeight="1" x14ac:dyDescent="0.2">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65"/>
      <c r="AD322" s="370"/>
      <c r="AE322" s="374"/>
      <c r="AF322" s="370"/>
      <c r="AG322" s="384"/>
    </row>
    <row r="323" spans="1:33" s="391" customFormat="1" x14ac:dyDescent="0.2">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65"/>
      <c r="AD323" s="370"/>
      <c r="AE323" s="374"/>
      <c r="AF323" s="370"/>
      <c r="AG323" s="387"/>
    </row>
    <row r="324" spans="1:33" s="391" customFormat="1" x14ac:dyDescent="0.2">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65"/>
      <c r="AD324" s="370"/>
      <c r="AE324" s="374"/>
      <c r="AF324" s="370"/>
      <c r="AG324" s="388"/>
    </row>
    <row r="325" spans="1:33" s="391" customFormat="1" x14ac:dyDescent="0.2">
      <c r="A325" s="370"/>
      <c r="B325" s="370"/>
      <c r="C325" s="370"/>
      <c r="D325" s="370"/>
      <c r="E325" s="370"/>
      <c r="F325" s="370"/>
      <c r="G325" s="370"/>
      <c r="H325" s="370"/>
      <c r="I325" s="370"/>
      <c r="J325" s="370"/>
      <c r="K325" s="370"/>
      <c r="L325" s="370"/>
      <c r="M325" s="385"/>
      <c r="N325" s="385"/>
      <c r="O325" s="370"/>
      <c r="P325" s="370"/>
      <c r="Q325" s="370"/>
      <c r="R325" s="370"/>
      <c r="S325" s="370"/>
      <c r="T325" s="370"/>
      <c r="U325" s="370"/>
      <c r="V325" s="370"/>
      <c r="W325" s="370"/>
      <c r="X325" s="370"/>
      <c r="Y325" s="370"/>
      <c r="Z325" s="370"/>
      <c r="AA325" s="370"/>
      <c r="AB325" s="370"/>
      <c r="AC325" s="465"/>
      <c r="AD325" s="370"/>
      <c r="AE325" s="374"/>
      <c r="AF325" s="370"/>
      <c r="AG325" s="388"/>
    </row>
    <row r="326" spans="1:33" s="391" customFormat="1" x14ac:dyDescent="0.2">
      <c r="A326" s="370"/>
      <c r="B326" s="370"/>
      <c r="C326" s="370"/>
      <c r="D326" s="370"/>
      <c r="E326" s="370"/>
      <c r="F326" s="370"/>
      <c r="G326" s="370"/>
      <c r="H326" s="370"/>
      <c r="I326" s="370"/>
      <c r="J326" s="370"/>
      <c r="K326" s="370"/>
      <c r="L326" s="370"/>
      <c r="M326" s="385"/>
      <c r="N326" s="385"/>
      <c r="O326" s="370"/>
      <c r="P326" s="370"/>
      <c r="Q326" s="370"/>
      <c r="R326" s="370"/>
      <c r="S326" s="370"/>
      <c r="T326" s="370"/>
      <c r="U326" s="370"/>
      <c r="V326" s="370"/>
      <c r="W326" s="370"/>
      <c r="X326" s="370"/>
      <c r="Y326" s="370"/>
      <c r="Z326" s="370"/>
      <c r="AA326" s="370"/>
      <c r="AB326" s="370"/>
      <c r="AC326" s="465"/>
      <c r="AD326" s="370"/>
      <c r="AE326" s="374"/>
      <c r="AF326" s="370"/>
      <c r="AG326" s="388"/>
    </row>
    <row r="327" spans="1:33" s="391" customFormat="1" x14ac:dyDescent="0.2">
      <c r="A327" s="370"/>
      <c r="B327" s="370"/>
      <c r="C327" s="370"/>
      <c r="D327" s="370"/>
      <c r="E327" s="370"/>
      <c r="F327" s="370"/>
      <c r="G327" s="370"/>
      <c r="H327" s="370"/>
      <c r="I327" s="370"/>
      <c r="J327" s="370"/>
      <c r="K327" s="370"/>
      <c r="L327" s="370"/>
      <c r="M327" s="385"/>
      <c r="N327" s="385"/>
      <c r="O327" s="370"/>
      <c r="P327" s="370"/>
      <c r="Q327" s="370"/>
      <c r="R327" s="370"/>
      <c r="S327" s="370"/>
      <c r="T327" s="370"/>
      <c r="U327" s="370"/>
      <c r="V327" s="370"/>
      <c r="W327" s="370"/>
      <c r="X327" s="370"/>
      <c r="Y327" s="370"/>
      <c r="Z327" s="370"/>
      <c r="AA327" s="370"/>
      <c r="AB327" s="370"/>
      <c r="AC327" s="465"/>
      <c r="AD327" s="370"/>
      <c r="AE327" s="374"/>
      <c r="AF327" s="370"/>
      <c r="AG327" s="388"/>
    </row>
    <row r="328" spans="1:33" s="391" customFormat="1" x14ac:dyDescent="0.2">
      <c r="A328" s="370"/>
      <c r="B328" s="370"/>
      <c r="C328" s="370"/>
      <c r="D328" s="370"/>
      <c r="E328" s="370"/>
      <c r="F328" s="370"/>
      <c r="G328" s="370"/>
      <c r="H328" s="370"/>
      <c r="I328" s="370"/>
      <c r="J328" s="370"/>
      <c r="K328" s="370"/>
      <c r="L328" s="370"/>
      <c r="M328" s="385"/>
      <c r="N328" s="385"/>
      <c r="O328" s="370"/>
      <c r="P328" s="370"/>
      <c r="Q328" s="370"/>
      <c r="R328" s="370"/>
      <c r="S328" s="370"/>
      <c r="T328" s="370"/>
      <c r="U328" s="370"/>
      <c r="V328" s="370"/>
      <c r="W328" s="370"/>
      <c r="X328" s="370"/>
      <c r="Y328" s="370"/>
      <c r="Z328" s="370"/>
      <c r="AA328" s="370"/>
      <c r="AB328" s="370"/>
      <c r="AC328" s="465"/>
      <c r="AD328" s="370"/>
      <c r="AE328" s="374"/>
      <c r="AF328" s="370"/>
      <c r="AG328" s="388"/>
    </row>
    <row r="329" spans="1:33" s="391" customFormat="1" x14ac:dyDescent="0.2">
      <c r="A329" s="370"/>
      <c r="B329" s="370"/>
      <c r="C329" s="370"/>
      <c r="D329" s="370"/>
      <c r="E329" s="370"/>
      <c r="F329" s="370"/>
      <c r="G329" s="370"/>
      <c r="H329" s="370"/>
      <c r="I329" s="370"/>
      <c r="J329" s="370"/>
      <c r="K329" s="370"/>
      <c r="L329" s="370"/>
      <c r="M329" s="385"/>
      <c r="N329" s="385"/>
      <c r="O329" s="370"/>
      <c r="P329" s="370"/>
      <c r="Q329" s="370"/>
      <c r="R329" s="370"/>
      <c r="S329" s="370"/>
      <c r="T329" s="370"/>
      <c r="U329" s="370"/>
      <c r="V329" s="370"/>
      <c r="W329" s="370"/>
      <c r="X329" s="370"/>
      <c r="Y329" s="370"/>
      <c r="Z329" s="370"/>
      <c r="AA329" s="370"/>
      <c r="AB329" s="370"/>
      <c r="AC329" s="465"/>
      <c r="AD329" s="370"/>
      <c r="AE329" s="374"/>
      <c r="AF329" s="370"/>
      <c r="AG329" s="388"/>
    </row>
    <row r="330" spans="1:33" s="391" customFormat="1" x14ac:dyDescent="0.2">
      <c r="A330" s="370"/>
      <c r="B330" s="370"/>
      <c r="C330" s="370"/>
      <c r="D330" s="370"/>
      <c r="E330" s="370"/>
      <c r="F330" s="370"/>
      <c r="G330" s="370"/>
      <c r="H330" s="370"/>
      <c r="I330" s="370"/>
      <c r="J330" s="370"/>
      <c r="K330" s="370"/>
      <c r="L330" s="370"/>
      <c r="M330" s="385"/>
      <c r="N330" s="385"/>
      <c r="O330" s="370"/>
      <c r="P330" s="370"/>
      <c r="Q330" s="370"/>
      <c r="R330" s="370"/>
      <c r="S330" s="370"/>
      <c r="T330" s="370"/>
      <c r="U330" s="370"/>
      <c r="V330" s="370"/>
      <c r="W330" s="370"/>
      <c r="X330" s="370"/>
      <c r="Y330" s="370"/>
      <c r="Z330" s="370"/>
      <c r="AA330" s="370"/>
      <c r="AB330" s="370"/>
      <c r="AC330" s="465"/>
      <c r="AD330" s="370"/>
      <c r="AE330" s="374"/>
      <c r="AF330" s="370"/>
      <c r="AG330" s="388"/>
    </row>
    <row r="331" spans="1:33" x14ac:dyDescent="0.2">
      <c r="AG331" s="388"/>
    </row>
    <row r="332" spans="1:33" x14ac:dyDescent="0.2">
      <c r="AG332" s="388"/>
    </row>
    <row r="333" spans="1:33" x14ac:dyDescent="0.2">
      <c r="AG333" s="391"/>
    </row>
    <row r="334" spans="1:33" x14ac:dyDescent="0.2">
      <c r="AG334" s="391"/>
    </row>
    <row r="335" spans="1:33" x14ac:dyDescent="0.2">
      <c r="AG335" s="391"/>
    </row>
    <row r="336" spans="1:33" x14ac:dyDescent="0.2">
      <c r="AG336" s="391"/>
    </row>
    <row r="337" spans="33:33" x14ac:dyDescent="0.2">
      <c r="AG337" s="391"/>
    </row>
    <row r="338" spans="33:33" x14ac:dyDescent="0.2">
      <c r="AG338" s="391"/>
    </row>
    <row r="339" spans="33:33" x14ac:dyDescent="0.2">
      <c r="AG339" s="391"/>
    </row>
    <row r="340" spans="33:33" x14ac:dyDescent="0.2">
      <c r="AG340"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56">
        <v>37260</v>
      </c>
      <c r="B1" s="585"/>
      <c r="C1" s="585"/>
      <c r="D1" s="585"/>
      <c r="E1" s="585"/>
      <c r="F1" s="585"/>
      <c r="G1" s="585"/>
      <c r="H1" s="585"/>
      <c r="I1" s="585"/>
      <c r="J1" s="585"/>
      <c r="K1" s="585" t="s">
        <v>352</v>
      </c>
      <c r="L1" s="585"/>
      <c r="M1" s="585"/>
      <c r="N1" s="585"/>
      <c r="O1" s="585"/>
      <c r="P1" s="585"/>
      <c r="Q1" s="585"/>
      <c r="R1" s="585"/>
      <c r="S1" s="585"/>
      <c r="T1" s="585"/>
      <c r="U1" s="585"/>
      <c r="V1" s="585"/>
      <c r="W1" s="585"/>
      <c r="X1" s="585"/>
      <c r="Y1" s="58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657"/>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88" t="s">
        <v>294</v>
      </c>
      <c r="B4" s="518">
        <v>650</v>
      </c>
      <c r="C4" s="518">
        <v>636</v>
      </c>
      <c r="D4" s="518">
        <v>618</v>
      </c>
      <c r="E4" s="518">
        <v>615</v>
      </c>
      <c r="F4" s="518">
        <v>624</v>
      </c>
      <c r="G4" s="518">
        <v>651</v>
      </c>
      <c r="H4" s="518">
        <v>718</v>
      </c>
      <c r="I4" s="518">
        <v>757</v>
      </c>
      <c r="J4" s="518">
        <v>801</v>
      </c>
      <c r="K4" s="518">
        <v>791</v>
      </c>
      <c r="L4" s="518">
        <v>812</v>
      </c>
      <c r="M4" s="518">
        <v>806</v>
      </c>
      <c r="N4" s="518">
        <v>816</v>
      </c>
      <c r="O4" s="518">
        <v>807</v>
      </c>
      <c r="P4" s="518">
        <v>789</v>
      </c>
      <c r="Q4" s="518">
        <v>792</v>
      </c>
      <c r="R4" s="518">
        <v>781</v>
      </c>
      <c r="S4" s="518">
        <v>847</v>
      </c>
      <c r="T4" s="518">
        <v>860</v>
      </c>
      <c r="U4" s="518">
        <v>868</v>
      </c>
      <c r="V4" s="518">
        <v>855</v>
      </c>
      <c r="W4" s="518">
        <v>825</v>
      </c>
      <c r="X4" s="519">
        <v>771</v>
      </c>
      <c r="Y4" s="519">
        <v>722</v>
      </c>
      <c r="Z4" s="354"/>
      <c r="AA4" s="354"/>
      <c r="AB4" s="354"/>
      <c r="AC4" s="354"/>
      <c r="AD4" s="354"/>
    </row>
    <row r="5" spans="1:213" s="161" customFormat="1" thickBot="1" x14ac:dyDescent="0.25">
      <c r="A5" s="589" t="s">
        <v>64</v>
      </c>
      <c r="B5" s="520">
        <f>Deals!F4</f>
        <v>55</v>
      </c>
      <c r="C5" s="520">
        <f>Deals!G4</f>
        <v>55</v>
      </c>
      <c r="D5" s="520">
        <f>Deals!H4</f>
        <v>55</v>
      </c>
      <c r="E5" s="520">
        <f>Deals!I4</f>
        <v>55</v>
      </c>
      <c r="F5" s="520">
        <f>Deals!J4</f>
        <v>55</v>
      </c>
      <c r="G5" s="520">
        <f>Deals!K4</f>
        <v>60</v>
      </c>
      <c r="H5" s="520">
        <f>Deals!L4</f>
        <v>65</v>
      </c>
      <c r="I5" s="520">
        <f>Deals!M4</f>
        <v>70</v>
      </c>
      <c r="J5" s="520">
        <f>Deals!N4</f>
        <v>75</v>
      </c>
      <c r="K5" s="520">
        <f>Deals!O4</f>
        <v>75</v>
      </c>
      <c r="L5" s="520">
        <f>Deals!P4</f>
        <v>75</v>
      </c>
      <c r="M5" s="520">
        <f>Deals!Q4</f>
        <v>75</v>
      </c>
      <c r="N5" s="520">
        <f>Deals!R4</f>
        <v>75</v>
      </c>
      <c r="O5" s="520">
        <f>Deals!S4</f>
        <v>75</v>
      </c>
      <c r="P5" s="520">
        <f>Deals!T4</f>
        <v>70</v>
      </c>
      <c r="Q5" s="520">
        <f>Deals!U4</f>
        <v>70</v>
      </c>
      <c r="R5" s="520">
        <f>Deals!V4</f>
        <v>70</v>
      </c>
      <c r="S5" s="520">
        <f>Deals!W4</f>
        <v>75</v>
      </c>
      <c r="T5" s="520">
        <f>Deals!X4</f>
        <v>75</v>
      </c>
      <c r="U5" s="520">
        <f>Deals!Y4</f>
        <v>75</v>
      </c>
      <c r="V5" s="520">
        <f>Deals!Z4</f>
        <v>75</v>
      </c>
      <c r="W5" s="520">
        <f>Deals!AA4</f>
        <v>75</v>
      </c>
      <c r="X5" s="520">
        <f>Deals!AB4</f>
        <v>70</v>
      </c>
      <c r="Y5" s="507">
        <f>Deals!AC4</f>
        <v>65</v>
      </c>
      <c r="Z5" s="160"/>
      <c r="AA5" s="162"/>
    </row>
    <row r="6" spans="1:213" s="161" customFormat="1" ht="12" x14ac:dyDescent="0.2">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thickBot="1" x14ac:dyDescent="0.25">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96">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97"/>
      <c r="Z9" s="160"/>
      <c r="AA9" s="162"/>
    </row>
    <row r="10" spans="1:213" s="161" customFormat="1" ht="12" x14ac:dyDescent="0.2">
      <c r="A10" s="497" t="s">
        <v>249</v>
      </c>
      <c r="B10" s="197">
        <f t="array" aca="1" ref="B10" ca="1">SUM(IF((DelPoint= "4C")*IF((DType = "firm")+(DType = "econ")&gt;0,1,0)*(OFFSET(DelPoint,0,B3+2)&lt;0),OFFSET(DelPoint,0,B3+2),0))</f>
        <v>-75</v>
      </c>
      <c r="C10" s="197">
        <f t="array" aca="1" ref="C10" ca="1">SUM(IF((DelPoint= "4C")*IF((DType = "firm")+(DType = "econ")&gt;0,1,0)*(OFFSET(DelPoint,0,C3+2)&lt;0),OFFSET(DelPoint,0,C3+2),0))</f>
        <v>-50</v>
      </c>
      <c r="D10" s="197">
        <f t="array" aca="1" ref="D10" ca="1">SUM(IF((DelPoint= "4C")*IF((DType = "firm")+(DType = "econ")&gt;0,1,0)*(OFFSET(DelPoint,0,D3+2)&lt;0),OFFSET(DelPoint,0,D3+2),0))</f>
        <v>-30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-80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-30</v>
      </c>
      <c r="P10" s="197">
        <f t="array" aca="1" ref="P10" ca="1">SUM(IF((DelPoint= "4C")*IF((DType = "firm")+(DType = "econ")&gt;0,1,0)*(OFFSET(DelPoint,0,P3+2)&lt;0),OFFSET(DelPoint,0,P3+2),0))</f>
        <v>-30</v>
      </c>
      <c r="Q10" s="197">
        <f t="array" aca="1" ref="Q10" ca="1">SUM(IF((DelPoint= "4C")*IF((DType = "firm")+(DType = "econ")&gt;0,1,0)*(OFFSET(DelPoint,0,Q3+2)&lt;0),OFFSET(DelPoint,0,Q3+2),0))</f>
        <v>-30</v>
      </c>
      <c r="R10" s="197">
        <f t="array" aca="1" ref="R10" ca="1">SUM(IF((DelPoint= "4C")*IF((DType = "firm")+(DType = "econ")&gt;0,1,0)*(OFFSET(DelPoint,0,R3+2)&lt;0),OFFSET(DelPoint,0,R3+2),0))</f>
        <v>-30</v>
      </c>
      <c r="S10" s="197">
        <f t="array" aca="1" ref="S10" ca="1">SUM(IF((DelPoint= "4C")*IF((DType = "firm")+(DType = "econ")&gt;0,1,0)*(OFFSET(DelPoint,0,S3+2)&lt;0),OFFSET(DelPoint,0,S3+2),0))</f>
        <v>-64</v>
      </c>
      <c r="T10" s="197">
        <f t="array" aca="1" ref="T10" ca="1">SUM(IF((DelPoint= "4C")*IF((DType = "firm")+(DType = "econ")&gt;0,1,0)*(OFFSET(DelPoint,0,T3+2)&lt;0),OFFSET(DelPoint,0,T3+2),0))</f>
        <v>-64</v>
      </c>
      <c r="U10" s="197">
        <f t="array" aca="1" ref="U10" ca="1">SUM(IF((DelPoint= "4C")*IF((DType = "firm")+(DType = "econ")&gt;0,1,0)*(OFFSET(DelPoint,0,U3+2)&lt;0),OFFSET(DelPoint,0,U3+2),0))</f>
        <v>-64</v>
      </c>
      <c r="V10" s="197">
        <f t="array" aca="1" ref="V10" ca="1">SUM(IF((DelPoint= "4C")*IF((DType = "firm")+(DType = "econ")&gt;0,1,0)*(OFFSET(DelPoint,0,V3+2)&lt;0),OFFSET(DelPoint,0,V3+2),0))</f>
        <v>-64</v>
      </c>
      <c r="W10" s="197">
        <f t="array" aca="1" ref="W10" ca="1">SUM(IF((DelPoint= "4C")*IF((DType = "firm")+(DType = "econ")&gt;0,1,0)*(OFFSET(DelPoint,0,W3+2)&lt;0),OFFSET(DelPoint,0,W3+2),0))</f>
        <v>-25</v>
      </c>
      <c r="X10" s="197">
        <f t="array" aca="1" ref="X10" ca="1">SUM(IF((DelPoint= "4C")*IF((DType = "firm")+(DType = "econ")&gt;0,1,0)*(OFFSET(DelPoint,0,X3+2)&lt;0),OFFSET(DelPoint,0,X3+2),0))</f>
        <v>0</v>
      </c>
      <c r="Y10" s="698">
        <f t="array" aca="1" ref="Y10" ca="1">SUM(IF((DelPoint= "4C")*IF((DType = "firm")+(DType = "econ")&gt;0,1,0)*(OFFSET(DelPoint,0,Y3+2)&lt;0),OFFSET(DelPoint,0,Y3+2),0))</f>
        <v>-100</v>
      </c>
      <c r="Z10" s="160"/>
      <c r="AA10" s="162"/>
    </row>
    <row r="11" spans="1:213" s="161" customFormat="1" ht="12" x14ac:dyDescent="0.2">
      <c r="A11" s="59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99">
        <f t="array" aca="1" ref="Y11" ca="1">SUM(IF((DelPoint= "PV")*(DType = "pre")*(OFFSET(DelPoint,0,Y3+2)&lt;0),OFFSET(DelPoint,0,Y3+2),0))</f>
        <v>0</v>
      </c>
      <c r="Z11" s="160"/>
      <c r="AA11" s="162"/>
    </row>
    <row r="12" spans="1:213" s="161" customFormat="1" ht="12" x14ac:dyDescent="0.2">
      <c r="A12" s="59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9"/>
      <c r="Z12" s="160"/>
      <c r="AA12" s="162"/>
    </row>
    <row r="13" spans="1:213" s="161" customFormat="1" ht="12" x14ac:dyDescent="0.2">
      <c r="A13" s="59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700"/>
      <c r="Z13" s="160"/>
      <c r="AA13" s="162"/>
    </row>
    <row r="14" spans="1:213" s="161" customFormat="1" ht="12" x14ac:dyDescent="0.2">
      <c r="A14" s="59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-50</v>
      </c>
      <c r="F14" s="199">
        <f t="array" aca="1" ref="F14" ca="1">SUM(IF((DelPoint= "PV")*IF((DType = "firm")+(DType = "econ")&gt;0,1,0)*(OFFSET(DelPoint,0,F3+2)&lt;0),OFFSET(DelPoint,0,F3+2),0))</f>
        <v>-50</v>
      </c>
      <c r="G14" s="199">
        <f t="array" aca="1" ref="G14" ca="1">SUM(IF((DelPoint= "PV")*IF((DType = "firm")+(DType = "econ")&gt;0,1,0)*(OFFSET(DelPoint,0,G3+2)&lt;0),OFFSET(DelPoint,0,G3+2),0))</f>
        <v>-50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-20</v>
      </c>
      <c r="N14" s="199">
        <f t="array" aca="1" ref="N14" ca="1">SUM(IF((DelPoint= "PV")*IF((DType = "firm")+(DType = "econ")&gt;0,1,0)*(OFFSET(DelPoint,0,N3+2)&lt;0),OFFSET(DelPoint,0,N3+2),0))</f>
        <v>-20</v>
      </c>
      <c r="O14" s="199">
        <f t="array" aca="1" ref="O14" ca="1">SUM(IF((DelPoint= "PV")*IF((DType = "firm")+(DType = "econ")&gt;0,1,0)*(OFFSET(DelPoint,0,O3+2)&lt;0),OFFSET(DelPoint,0,O3+2),0))</f>
        <v>-20</v>
      </c>
      <c r="P14" s="199">
        <f t="array" aca="1" ref="P14" ca="1">SUM(IF((DelPoint= "PV")*IF((DType = "firm")+(DType = "econ")&gt;0,1,0)*(OFFSET(DelPoint,0,P3+2)&lt;0),OFFSET(DelPoint,0,P3+2),0))</f>
        <v>-45</v>
      </c>
      <c r="Q14" s="199">
        <f t="array" aca="1" ref="Q14" ca="1">SUM(IF((DelPoint= "PV")*IF((DType = "firm")+(DType = "econ")&gt;0,1,0)*(OFFSET(DelPoint,0,Q3+2)&lt;0),OFFSET(DelPoint,0,Q3+2),0))</f>
        <v>-45</v>
      </c>
      <c r="R14" s="199">
        <f t="array" aca="1" ref="R14" ca="1">SUM(IF((DelPoint= "PV")*IF((DType = "firm")+(DType = "econ")&gt;0,1,0)*(OFFSET(DelPoint,0,R3+2)&lt;0),OFFSET(DelPoint,0,R3+2),0))</f>
        <v>-45</v>
      </c>
      <c r="S14" s="199">
        <f t="array" aca="1" ref="S14" ca="1">SUM(IF((DelPoint= "PV")*IF((DType = "firm")+(DType = "econ")&gt;0,1,0)*(OFFSET(DelPoint,0,S3+2)&lt;0),OFFSET(DelPoint,0,S3+2),0))</f>
        <v>-45</v>
      </c>
      <c r="T14" s="199">
        <f t="array" aca="1" ref="T14" ca="1">SUM(IF((DelPoint= "PV")*IF((DType = "firm")+(DType = "econ")&gt;0,1,0)*(OFFSET(DelPoint,0,T3+2)&lt;0),OFFSET(DelPoint,0,T3+2),0))</f>
        <v>-50</v>
      </c>
      <c r="U14" s="199">
        <f t="array" aca="1" ref="U14" ca="1">SUM(IF((DelPoint= "PV")*IF((DType = "firm")+(DType = "econ")&gt;0,1,0)*(OFFSET(DelPoint,0,U3+2)&lt;0),OFFSET(DelPoint,0,U3+2),0))</f>
        <v>-50</v>
      </c>
      <c r="V14" s="199">
        <f t="array" aca="1" ref="V14" ca="1">SUM(IF((DelPoint= "PV")*IF((DType = "firm")+(DType = "econ")&gt;0,1,0)*(OFFSET(DelPoint,0,V3+2)&lt;0),OFFSET(DelPoint,0,V3+2),0))</f>
        <v>-50</v>
      </c>
      <c r="W14" s="199">
        <f t="array" aca="1" ref="W14" ca="1">SUM(IF((DelPoint= "PV")*IF((DType = "firm")+(DType = "econ")&gt;0,1,0)*(OFFSET(DelPoint,0,W3+2)&lt;0),OFFSET(DelPoint,0,W3+2),0))</f>
        <v>-50</v>
      </c>
      <c r="X14" s="199">
        <f t="array" aca="1" ref="X14" ca="1">SUM(IF((DelPoint= "PV")*IF((DType = "firm")+(DType = "econ")&gt;0,1,0)*(OFFSET(DelPoint,0,X3+2)&lt;0),OFFSET(DelPoint,0,X3+2),0))</f>
        <v>-90</v>
      </c>
      <c r="Y14" s="701">
        <f t="array" aca="1" ref="Y14" ca="1">SUM(IF((DelPoint= "PV")*IF((DType = "firm")+(DType = "econ")&gt;0,1,0)*(OFFSET(DelPoint,0,Y3+2)&lt;0),OFFSET(DelPoint,0,Y3+2),0))</f>
        <v>-100</v>
      </c>
      <c r="Z14" s="160"/>
      <c r="AA14" s="162"/>
    </row>
    <row r="15" spans="1:213" s="161" customFormat="1" ht="12" x14ac:dyDescent="0.2">
      <c r="A15" s="59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9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9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96" t="s">
        <v>247</v>
      </c>
      <c r="B18" s="483">
        <f>Deals!F7</f>
        <v>-50</v>
      </c>
      <c r="C18" s="483">
        <f>Deals!G7</f>
        <v>-50</v>
      </c>
      <c r="D18" s="483">
        <f>Deals!H7</f>
        <v>-50</v>
      </c>
      <c r="E18" s="483">
        <f>Deals!I7</f>
        <v>-50</v>
      </c>
      <c r="F18" s="483">
        <f>Deals!J7</f>
        <v>-50</v>
      </c>
      <c r="G18" s="483">
        <f>Deals!K7</f>
        <v>-50</v>
      </c>
      <c r="H18" s="483">
        <f>Deals!L7</f>
        <v>-80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-133</v>
      </c>
      <c r="X18" s="483">
        <f>Deals!AB7</f>
        <v>-50</v>
      </c>
      <c r="Y18" s="486">
        <f>Deals!AC7</f>
        <v>-50</v>
      </c>
      <c r="Z18" s="160"/>
      <c r="AA18" s="162"/>
    </row>
    <row r="19" spans="1:27" s="161" customFormat="1" ht="12" x14ac:dyDescent="0.2">
      <c r="A19" s="59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9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70</v>
      </c>
      <c r="C22" s="418">
        <f>Deals!G3</f>
        <v>60</v>
      </c>
      <c r="D22" s="418">
        <f>Deals!H3</f>
        <v>45</v>
      </c>
      <c r="E22" s="418">
        <f>Deals!I3</f>
        <v>45</v>
      </c>
      <c r="F22" s="418">
        <f>Deals!J3</f>
        <v>45</v>
      </c>
      <c r="G22" s="418">
        <f>Deals!K3</f>
        <v>55</v>
      </c>
      <c r="H22" s="418">
        <f>Deals!L3</f>
        <v>70</v>
      </c>
      <c r="I22" s="418">
        <f>Deals!M3</f>
        <v>95</v>
      </c>
      <c r="J22" s="418">
        <f>Deals!N3</f>
        <v>105</v>
      </c>
      <c r="K22" s="418">
        <f>Deals!O3</f>
        <v>105</v>
      </c>
      <c r="L22" s="418">
        <f>Deals!P3</f>
        <v>105</v>
      </c>
      <c r="M22" s="418">
        <f>Deals!Q3</f>
        <v>105</v>
      </c>
      <c r="N22" s="418">
        <f>Deals!R3</f>
        <v>105</v>
      </c>
      <c r="O22" s="418">
        <f>Deals!S3</f>
        <v>105</v>
      </c>
      <c r="P22" s="418">
        <f>Deals!T3</f>
        <v>105</v>
      </c>
      <c r="Q22" s="418">
        <f>Deals!U3</f>
        <v>105</v>
      </c>
      <c r="R22" s="418">
        <f>Deals!V3</f>
        <v>105</v>
      </c>
      <c r="S22" s="418">
        <f>Deals!W3</f>
        <v>105</v>
      </c>
      <c r="T22" s="418">
        <f>Deals!X3</f>
        <v>130</v>
      </c>
      <c r="U22" s="418">
        <f>Deals!Y3</f>
        <v>130</v>
      </c>
      <c r="V22" s="418">
        <f>Deals!Z3</f>
        <v>130</v>
      </c>
      <c r="W22" s="418">
        <f>Deals!AA3</f>
        <v>120</v>
      </c>
      <c r="X22" s="418">
        <f>Deals!AB3</f>
        <v>120</v>
      </c>
      <c r="Y22" s="507">
        <f>Deals!AC3</f>
        <v>100</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702">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91">
        <f t="array" aca="1" ref="B25" ca="1">SUM(IF((DelPoint= "4C")*(DType = "pre")*(OFFSET(DelPoint,0,B3+2)&gt;0),OFFSET(DelPoint,0,B3+2),0))</f>
        <v>55</v>
      </c>
      <c r="C25" s="691">
        <f t="array" aca="1" ref="C25" ca="1">SUM(IF((DelPoint= "4C")*(DType = "pre")*(OFFSET(DelPoint,0,C3+2)&gt;0),OFFSET(DelPoint,0,C3+2),0))</f>
        <v>78</v>
      </c>
      <c r="D25" s="691">
        <f t="array" aca="1" ref="D25" ca="1">SUM(IF((DelPoint= "4C")*(DType = "pre")*(OFFSET(DelPoint,0,D3+2)&gt;0),OFFSET(DelPoint,0,D3+2),0))</f>
        <v>78</v>
      </c>
      <c r="E25" s="691">
        <f t="array" aca="1" ref="E25" ca="1">SUM(IF((DelPoint= "4C")*(DType = "pre")*(OFFSET(DelPoint,0,E3+2)&gt;0),OFFSET(DelPoint,0,E3+2),0))</f>
        <v>78</v>
      </c>
      <c r="F25" s="691">
        <f t="array" aca="1" ref="F25" ca="1">SUM(IF((DelPoint= "4C")*(DType = "pre")*(OFFSET(DelPoint,0,F3+2)&gt;0),OFFSET(DelPoint,0,F3+2),0))</f>
        <v>78</v>
      </c>
      <c r="G25" s="691">
        <f t="array" aca="1" ref="G25" ca="1">SUM(IF((DelPoint= "4C")*(DType = "pre")*(OFFSET(DelPoint,0,G3+2)&gt;0),OFFSET(DelPoint,0,G3+2),0))</f>
        <v>78</v>
      </c>
      <c r="H25" s="691">
        <f t="array" aca="1" ref="H25" ca="1">SUM(IF((DelPoint= "4C")*(DType = "pre")*(OFFSET(DelPoint,0,H3+2)&gt;0),OFFSET(DelPoint,0,H3+2),0))</f>
        <v>78</v>
      </c>
      <c r="I25" s="691">
        <f t="array" aca="1" ref="I25" ca="1">SUM(IF((DelPoint= "4C")*(DType = "pre")*(OFFSET(DelPoint,0,I3+2)&gt;0),OFFSET(DelPoint,0,I3+2),0))</f>
        <v>30</v>
      </c>
      <c r="J25" s="691">
        <f t="array" aca="1" ref="J25" ca="1">SUM(IF((DelPoint= "4C")*(DType = "pre")*(OFFSET(DelPoint,0,J3+2)&gt;0),OFFSET(DelPoint,0,J3+2),0))</f>
        <v>30</v>
      </c>
      <c r="K25" s="691">
        <f t="array" aca="1" ref="K25" ca="1">SUM(IF((DelPoint= "4C")*(DType = "pre")*(OFFSET(DelPoint,0,K3+2)&gt;0),OFFSET(DelPoint,0,K3+2),0))</f>
        <v>30</v>
      </c>
      <c r="L25" s="691">
        <f t="array" aca="1" ref="L25" ca="1">SUM(IF((DelPoint= "4C")*(DType = "pre")*(OFFSET(DelPoint,0,L3+2)&gt;0),OFFSET(DelPoint,0,L3+2),0))</f>
        <v>30</v>
      </c>
      <c r="M25" s="691">
        <f t="array" aca="1" ref="M25" ca="1">SUM(IF((DelPoint= "4C")*(DType = "pre")*(OFFSET(DelPoint,0,M3+2)&gt;0),OFFSET(DelPoint,0,M3+2),0))</f>
        <v>30</v>
      </c>
      <c r="N25" s="691">
        <f t="array" aca="1" ref="N25" ca="1">SUM(IF((DelPoint= "4C")*(DType = "pre")*(OFFSET(DelPoint,0,N3+2)&gt;0),OFFSET(DelPoint,0,N3+2),0))</f>
        <v>30</v>
      </c>
      <c r="O25" s="691">
        <f t="array" aca="1" ref="O25" ca="1">SUM(IF((DelPoint= "4C")*(DType = "pre")*(OFFSET(DelPoint,0,O3+2)&gt;0),OFFSET(DelPoint,0,O3+2),0))</f>
        <v>30</v>
      </c>
      <c r="P25" s="691">
        <f t="array" aca="1" ref="P25" ca="1">SUM(IF((DelPoint= "4C")*(DType = "pre")*(OFFSET(DelPoint,0,P3+2)&gt;0),OFFSET(DelPoint,0,P3+2),0))</f>
        <v>30</v>
      </c>
      <c r="Q25" s="691">
        <f t="array" aca="1" ref="Q25" ca="1">SUM(IF((DelPoint= "4C")*(DType = "pre")*(OFFSET(DelPoint,0,Q3+2)&gt;0),OFFSET(DelPoint,0,Q3+2),0))</f>
        <v>30</v>
      </c>
      <c r="R25" s="691">
        <f t="array" aca="1" ref="R25" ca="1">SUM(IF((DelPoint= "4C")*(DType = "pre")*(OFFSET(DelPoint,0,R3+2)&gt;0),OFFSET(DelPoint,0,R3+2),0))</f>
        <v>30</v>
      </c>
      <c r="S25" s="691">
        <f t="array" aca="1" ref="S25" ca="1">SUM(IF((DelPoint= "4C")*(DType = "pre")*(OFFSET(DelPoint,0,S3+2)&gt;0),OFFSET(DelPoint,0,S3+2),0))</f>
        <v>30</v>
      </c>
      <c r="T25" s="691">
        <f t="array" aca="1" ref="T25" ca="1">SUM(IF((DelPoint= "4C")*(DType = "pre")*(OFFSET(DelPoint,0,T3+2)&gt;0),OFFSET(DelPoint,0,T3+2),0))</f>
        <v>30</v>
      </c>
      <c r="U25" s="691">
        <f t="array" aca="1" ref="U25" ca="1">SUM(IF((DelPoint= "4C")*(DType = "pre")*(OFFSET(DelPoint,0,U3+2)&gt;0),OFFSET(DelPoint,0,U3+2),0))</f>
        <v>30</v>
      </c>
      <c r="V25" s="691">
        <f t="array" aca="1" ref="V25" ca="1">SUM(IF((DelPoint= "4C")*(DType = "pre")*(OFFSET(DelPoint,0,V3+2)&gt;0),OFFSET(DelPoint,0,V3+2),0))</f>
        <v>30</v>
      </c>
      <c r="W25" s="691">
        <f t="array" aca="1" ref="W25" ca="1">SUM(IF((DelPoint= "4C")*(DType = "pre")*(OFFSET(DelPoint,0,W3+2)&gt;0),OFFSET(DelPoint,0,W3+2),0))</f>
        <v>30</v>
      </c>
      <c r="X25" s="691">
        <f t="array" aca="1" ref="X25" ca="1">SUM(IF((DelPoint= "4C")*(DType = "pre")*(OFFSET(DelPoint,0,X3+2)&gt;0),OFFSET(DelPoint,0,X3+2),0))</f>
        <v>30</v>
      </c>
      <c r="Y25" s="703">
        <f t="array" aca="1" ref="Y25" ca="1">SUM(IF((DelPoint= "4C")*(DType = "pre")*(OFFSET(DelPoint,0,Y3+2)&gt;0),OFFSET(DelPoint,0,Y3+2),0))</f>
        <v>78</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97">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204">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8">
        <f t="array" aca="1" ref="Y28" ca="1">SUM(IF((DelPoint= "4C")*IF((DType = "firm")+(DType = "econ")&gt;0,1,0)*(OFFSET(DelPoint,0,Y3+2)&gt;0),OFFSET(DelPoint,0,Y3+2),0))</f>
        <v>0</v>
      </c>
      <c r="Z28" s="160"/>
      <c r="AA28" s="162"/>
    </row>
    <row r="29" spans="1:27" s="161" customFormat="1" ht="12" x14ac:dyDescent="0.2">
      <c r="A29" s="499" t="s">
        <v>117</v>
      </c>
      <c r="B29" s="668">
        <f t="array" aca="1" ref="B29" ca="1">SUM(IF((DelPoint= "pv")*(DType = "pre")*(OFFSET(DelPoint,0,B3+2)&gt;0),OFFSET(DelPoint,0,B3+2),0))</f>
        <v>178</v>
      </c>
      <c r="C29" s="668">
        <f t="array" aca="1" ref="C29" ca="1">SUM(IF((DelPoint= "pv")*(DType = "pre")*(OFFSET(DelPoint,0,C3+2)&gt;0),OFFSET(DelPoint,0,C3+2),0))</f>
        <v>125</v>
      </c>
      <c r="D29" s="668">
        <f t="array" aca="1" ref="D29" ca="1">SUM(IF((DelPoint= "pv")*(DType = "pre")*(OFFSET(DelPoint,0,D3+2)&gt;0),OFFSET(DelPoint,0,D3+2),0))</f>
        <v>125</v>
      </c>
      <c r="E29" s="668">
        <f t="array" aca="1" ref="E29" ca="1">SUM(IF((DelPoint= "pv")*(DType = "pre")*(OFFSET(DelPoint,0,E3+2)&gt;0),OFFSET(DelPoint,0,E3+2),0))</f>
        <v>125</v>
      </c>
      <c r="F29" s="668">
        <f t="array" aca="1" ref="F29" ca="1">SUM(IF((DelPoint= "pv")*(DType = "pre")*(OFFSET(DelPoint,0,F3+2)&gt;0),OFFSET(DelPoint,0,F3+2),0))</f>
        <v>125</v>
      </c>
      <c r="G29" s="668">
        <f t="array" aca="1" ref="G29" ca="1">SUM(IF((DelPoint= "pv")*(DType = "pre")*(OFFSET(DelPoint,0,G3+2)&gt;0),OFFSET(DelPoint,0,G3+2),0))</f>
        <v>125</v>
      </c>
      <c r="H29" s="668">
        <f t="array" aca="1" ref="H29" ca="1">SUM(IF((DelPoint= "pv")*(DType = "pre")*(OFFSET(DelPoint,0,H3+2)&gt;0),OFFSET(DelPoint,0,H3+2),0))</f>
        <v>125</v>
      </c>
      <c r="I29" s="668">
        <f t="array" aca="1" ref="I29" ca="1">SUM(IF((DelPoint= "pv")*(DType = "pre")*(OFFSET(DelPoint,0,I3+2)&gt;0),OFFSET(DelPoint,0,I3+2),0))</f>
        <v>50</v>
      </c>
      <c r="J29" s="668">
        <f t="array" aca="1" ref="J29" ca="1">SUM(IF((DelPoint= "pv")*(DType = "pre")*(OFFSET(DelPoint,0,J3+2)&gt;0),OFFSET(DelPoint,0,J3+2),0))</f>
        <v>50</v>
      </c>
      <c r="K29" s="668">
        <f t="array" aca="1" ref="K29" ca="1">SUM(IF((DelPoint= "pv")*(DType = "pre")*(OFFSET(DelPoint,0,K3+2)&gt;0),OFFSET(DelPoint,0,K3+2),0))</f>
        <v>50</v>
      </c>
      <c r="L29" s="668">
        <f t="array" aca="1" ref="L29" ca="1">SUM(IF((DelPoint= "pv")*(DType = "pre")*(OFFSET(DelPoint,0,L3+2)&gt;0),OFFSET(DelPoint,0,L3+2),0))</f>
        <v>50</v>
      </c>
      <c r="M29" s="668">
        <f t="array" aca="1" ref="M29" ca="1">SUM(IF((DelPoint= "pv")*(DType = "pre")*(OFFSET(DelPoint,0,M3+2)&gt;0),OFFSET(DelPoint,0,M3+2),0))</f>
        <v>50</v>
      </c>
      <c r="N29" s="668">
        <f t="array" aca="1" ref="N29" ca="1">SUM(IF((DelPoint= "pv")*(DType = "pre")*(OFFSET(DelPoint,0,N3+2)&gt;0),OFFSET(DelPoint,0,N3+2),0))</f>
        <v>50</v>
      </c>
      <c r="O29" s="668">
        <f t="array" aca="1" ref="O29" ca="1">SUM(IF((DelPoint= "pv")*(DType = "pre")*(OFFSET(DelPoint,0,O3+2)&gt;0),OFFSET(DelPoint,0,O3+2),0))</f>
        <v>50</v>
      </c>
      <c r="P29" s="668">
        <f t="array" aca="1" ref="P29" ca="1">SUM(IF((DelPoint= "pv")*(DType = "pre")*(OFFSET(DelPoint,0,P3+2)&gt;0),OFFSET(DelPoint,0,P3+2),0))</f>
        <v>50</v>
      </c>
      <c r="Q29" s="668">
        <f t="array" aca="1" ref="Q29" ca="1">SUM(IF((DelPoint= "pv")*(DType = "pre")*(OFFSET(DelPoint,0,Q3+2)&gt;0),OFFSET(DelPoint,0,Q3+2),0))</f>
        <v>50</v>
      </c>
      <c r="R29" s="668">
        <f t="array" aca="1" ref="R29" ca="1">SUM(IF((DelPoint= "pv")*(DType = "pre")*(OFFSET(DelPoint,0,R3+2)&gt;0),OFFSET(DelPoint,0,R3+2),0))</f>
        <v>50</v>
      </c>
      <c r="S29" s="668">
        <f t="array" aca="1" ref="S29" ca="1">SUM(IF((DelPoint= "pv")*(DType = "pre")*(OFFSET(DelPoint,0,S3+2)&gt;0),OFFSET(DelPoint,0,S3+2),0))</f>
        <v>50</v>
      </c>
      <c r="T29" s="668">
        <f t="array" aca="1" ref="T29" ca="1">SUM(IF((DelPoint= "pv")*(DType = "pre")*(OFFSET(DelPoint,0,T3+2)&gt;0),OFFSET(DelPoint,0,T3+2),0))</f>
        <v>50</v>
      </c>
      <c r="U29" s="668">
        <f t="array" aca="1" ref="U29" ca="1">SUM(IF((DelPoint= "pv")*(DType = "pre")*(OFFSET(DelPoint,0,U3+2)&gt;0),OFFSET(DelPoint,0,U3+2),0))</f>
        <v>50</v>
      </c>
      <c r="V29" s="668">
        <f t="array" aca="1" ref="V29" ca="1">SUM(IF((DelPoint= "pv")*(DType = "pre")*(OFFSET(DelPoint,0,V3+2)&gt;0),OFFSET(DelPoint,0,V3+2),0))</f>
        <v>50</v>
      </c>
      <c r="W29" s="668">
        <f t="array" aca="1" ref="W29" ca="1">SUM(IF((DelPoint= "pv")*(DType = "pre")*(OFFSET(DelPoint,0,W3+2)&gt;0),OFFSET(DelPoint,0,W3+2),0))</f>
        <v>50</v>
      </c>
      <c r="X29" s="668">
        <f t="array" aca="1" ref="X29" ca="1">SUM(IF((DelPoint= "pv")*(DType = "pre")*(OFFSET(DelPoint,0,X3+2)&gt;0),OFFSET(DelPoint,0,X3+2),0))</f>
        <v>50</v>
      </c>
      <c r="Y29" s="704">
        <f t="array" aca="1" ref="Y29" ca="1">SUM(IF((DelPoint= "pv")*(DType = "pre")*(OFFSET(DelPoint,0,Y3+2)&gt;0),OFFSET(DelPoint,0,Y3+2),0))</f>
        <v>125</v>
      </c>
      <c r="Z29" s="160"/>
      <c r="AA29" s="162"/>
    </row>
    <row r="30" spans="1:27" s="161" customFormat="1" ht="12" x14ac:dyDescent="0.2">
      <c r="A30" s="499" t="s">
        <v>118</v>
      </c>
      <c r="B30" s="692">
        <f t="shared" ref="B30:Y30" ca="1" si="1">SUMIF(OFFSET(PVBalancingVol,B$3,0),"&gt;0")</f>
        <v>0</v>
      </c>
      <c r="C30" s="692">
        <f t="shared" ca="1" si="1"/>
        <v>0</v>
      </c>
      <c r="D30" s="692">
        <f t="shared" ca="1" si="1"/>
        <v>0</v>
      </c>
      <c r="E30" s="692">
        <f t="shared" ca="1" si="1"/>
        <v>0</v>
      </c>
      <c r="F30" s="692">
        <f t="shared" ca="1" si="1"/>
        <v>0</v>
      </c>
      <c r="G30" s="692">
        <f t="shared" ca="1" si="1"/>
        <v>0</v>
      </c>
      <c r="H30" s="692">
        <f t="shared" ca="1" si="1"/>
        <v>0</v>
      </c>
      <c r="I30" s="692">
        <f t="shared" ca="1" si="1"/>
        <v>0</v>
      </c>
      <c r="J30" s="692">
        <f t="shared" ca="1" si="1"/>
        <v>0</v>
      </c>
      <c r="K30" s="692">
        <f t="shared" ca="1" si="1"/>
        <v>0</v>
      </c>
      <c r="L30" s="692">
        <f t="shared" ca="1" si="1"/>
        <v>0</v>
      </c>
      <c r="M30" s="692">
        <f t="shared" ca="1" si="1"/>
        <v>0</v>
      </c>
      <c r="N30" s="692">
        <f t="shared" ca="1" si="1"/>
        <v>0</v>
      </c>
      <c r="O30" s="692">
        <f t="shared" ca="1" si="1"/>
        <v>0</v>
      </c>
      <c r="P30" s="692">
        <f t="shared" ca="1" si="1"/>
        <v>0</v>
      </c>
      <c r="Q30" s="692">
        <f t="shared" ca="1" si="1"/>
        <v>0</v>
      </c>
      <c r="R30" s="692">
        <f t="shared" ca="1" si="1"/>
        <v>0</v>
      </c>
      <c r="S30" s="692">
        <f t="shared" ca="1" si="1"/>
        <v>0</v>
      </c>
      <c r="T30" s="692">
        <f t="shared" ca="1" si="1"/>
        <v>0</v>
      </c>
      <c r="U30" s="692">
        <f t="shared" ca="1" si="1"/>
        <v>0</v>
      </c>
      <c r="V30" s="692">
        <f t="shared" ca="1" si="1"/>
        <v>0</v>
      </c>
      <c r="W30" s="692">
        <f t="shared" ca="1" si="1"/>
        <v>0</v>
      </c>
      <c r="X30" s="692">
        <f t="shared" ca="1" si="1"/>
        <v>0</v>
      </c>
      <c r="Y30" s="705">
        <f t="shared" ca="1" si="1"/>
        <v>0</v>
      </c>
      <c r="Z30" s="160"/>
      <c r="AA30" s="162"/>
    </row>
    <row r="31" spans="1:27" s="161" customFormat="1" ht="12"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540">
        <v>0</v>
      </c>
      <c r="Z31" s="160"/>
      <c r="AA31" s="162"/>
    </row>
    <row r="32" spans="1:27" s="161" customFormat="1" ht="12" x14ac:dyDescent="0.2">
      <c r="A32" s="500" t="s">
        <v>119</v>
      </c>
      <c r="B32" s="603">
        <f t="array" aca="1" ref="B32" ca="1">SUM(IF((DelPoint= "PV")*IF((DType = "firm")+(DType = "econ")&gt;0,1,0)*(OFFSET(DelPoint,0,B3+2)&gt;0),OFFSET(DelPoint,0,B3+2),0))</f>
        <v>0</v>
      </c>
      <c r="C32" s="603">
        <f t="array" aca="1" ref="C32" ca="1">SUM(IF((DelPoint= "PV")*IF((DType = "firm")+(DType = "econ")&gt;0,1,0)*(OFFSET(DelPoint,0,C3+2)&gt;0),OFFSET(DelPoint,0,C3+2),0))</f>
        <v>0</v>
      </c>
      <c r="D32" s="603">
        <f t="array" aca="1" ref="D32" ca="1">SUM(IF((DelPoint= "PV")*IF((DType = "firm")+(DType = "econ")&gt;0,1,0)*(OFFSET(DelPoint,0,D3+2)&gt;0),OFFSET(DelPoint,0,D3+2),0))</f>
        <v>0</v>
      </c>
      <c r="E32" s="603">
        <f t="array" aca="1" ref="E32" ca="1">SUM(IF((DelPoint= "PV")*IF((DType = "firm")+(DType = "econ")&gt;0,1,0)*(OFFSET(DelPoint,0,E3+2)&gt;0),OFFSET(DelPoint,0,E3+2),0))</f>
        <v>0</v>
      </c>
      <c r="F32" s="603">
        <f t="array" aca="1" ref="F32" ca="1">SUM(IF((DelPoint= "PV")*IF((DType = "firm")+(DType = "econ")&gt;0,1,0)*(OFFSET(DelPoint,0,F3+2)&gt;0),OFFSET(DelPoint,0,F3+2),0))</f>
        <v>0</v>
      </c>
      <c r="G32" s="603">
        <f t="array" aca="1" ref="G32" ca="1">SUM(IF((DelPoint= "PV")*IF((DType = "firm")+(DType = "econ")&gt;0,1,0)*(OFFSET(DelPoint,0,G3+2)&gt;0),OFFSET(DelPoint,0,G3+2),0))</f>
        <v>0</v>
      </c>
      <c r="H32" s="603">
        <f t="array" aca="1" ref="H32" ca="1">SUM(IF((DelPoint= "PV")*IF((DType = "firm")+(DType = "econ")&gt;0,1,0)*(OFFSET(DelPoint,0,H3+2)&gt;0),OFFSET(DelPoint,0,H3+2),0))</f>
        <v>0</v>
      </c>
      <c r="I32" s="603">
        <f t="array" aca="1" ref="I32" ca="1">SUM(IF((DelPoint= "PV")*IF((DType = "firm")+(DType = "econ")&gt;0,1,0)*(OFFSET(DelPoint,0,I3+2)&gt;0),OFFSET(DelPoint,0,I3+2),0))</f>
        <v>60</v>
      </c>
      <c r="J32" s="603">
        <f t="array" aca="1" ref="J32" ca="1">SUM(IF((DelPoint= "PV")*IF((DType = "firm")+(DType = "econ")&gt;0,1,0)*(OFFSET(DelPoint,0,J3+2)&gt;0),OFFSET(DelPoint,0,J3+2),0))</f>
        <v>0</v>
      </c>
      <c r="K32" s="603">
        <f t="array" aca="1" ref="K32" ca="1">SUM(IF((DelPoint= "PV")*IF((DType = "firm")+(DType = "econ")&gt;0,1,0)*(OFFSET(DelPoint,0,K3+2)&gt;0),OFFSET(DelPoint,0,K3+2),0))</f>
        <v>0</v>
      </c>
      <c r="L32" s="603">
        <f t="array" aca="1" ref="L32" ca="1">SUM(IF((DelPoint= "PV")*IF((DType = "firm")+(DType = "econ")&gt;0,1,0)*(OFFSET(DelPoint,0,L3+2)&gt;0),OFFSET(DelPoint,0,L3+2),0))</f>
        <v>0</v>
      </c>
      <c r="M32" s="603">
        <f t="array" aca="1" ref="M32" ca="1">SUM(IF((DelPoint= "PV")*IF((DType = "firm")+(DType = "econ")&gt;0,1,0)*(OFFSET(DelPoint,0,M3+2)&gt;0),OFFSET(DelPoint,0,M3+2),0))</f>
        <v>0</v>
      </c>
      <c r="N32" s="603">
        <f t="array" aca="1" ref="N32" ca="1">SUM(IF((DelPoint= "PV")*IF((DType = "firm")+(DType = "econ")&gt;0,1,0)*(OFFSET(DelPoint,0,N3+2)&gt;0),OFFSET(DelPoint,0,N3+2),0))</f>
        <v>0</v>
      </c>
      <c r="O32" s="603">
        <f t="array" aca="1" ref="O32" ca="1">SUM(IF((DelPoint= "PV")*IF((DType = "firm")+(DType = "econ")&gt;0,1,0)*(OFFSET(DelPoint,0,O3+2)&gt;0),OFFSET(DelPoint,0,O3+2),0))</f>
        <v>0</v>
      </c>
      <c r="P32" s="603">
        <f t="array" aca="1" ref="P32" ca="1">SUM(IF((DelPoint= "PV")*IF((DType = "firm")+(DType = "econ")&gt;0,1,0)*(OFFSET(DelPoint,0,P3+2)&gt;0),OFFSET(DelPoint,0,P3+2),0))</f>
        <v>0</v>
      </c>
      <c r="Q32" s="603">
        <f t="array" aca="1" ref="Q32" ca="1">SUM(IF((DelPoint= "PV")*IF((DType = "firm")+(DType = "econ")&gt;0,1,0)*(OFFSET(DelPoint,0,Q3+2)&gt;0),OFFSET(DelPoint,0,Q3+2),0))</f>
        <v>0</v>
      </c>
      <c r="R32" s="603">
        <f t="array" aca="1" ref="R32" ca="1">SUM(IF((DelPoint= "PV")*IF((DType = "firm")+(DType = "econ")&gt;0,1,0)*(OFFSET(DelPoint,0,R3+2)&gt;0),OFFSET(DelPoint,0,R3+2),0))</f>
        <v>0</v>
      </c>
      <c r="S32" s="603">
        <f t="array" aca="1" ref="S32" ca="1">SUM(IF((DelPoint= "PV")*IF((DType = "firm")+(DType = "econ")&gt;0,1,0)*(OFFSET(DelPoint,0,S3+2)&gt;0),OFFSET(DelPoint,0,S3+2),0))</f>
        <v>0</v>
      </c>
      <c r="T32" s="603">
        <f t="array" aca="1" ref="T32" ca="1">SUM(IF((DelPoint= "PV")*IF((DType = "firm")+(DType = "econ")&gt;0,1,0)*(OFFSET(DelPoint,0,T3+2)&gt;0),OFFSET(DelPoint,0,T3+2),0))</f>
        <v>0</v>
      </c>
      <c r="U32" s="603">
        <f t="array" aca="1" ref="U32" ca="1">SUM(IF((DelPoint= "PV")*IF((DType = "firm")+(DType = "econ")&gt;0,1,0)*(OFFSET(DelPoint,0,U3+2)&gt;0),OFFSET(DelPoint,0,U3+2),0))</f>
        <v>0</v>
      </c>
      <c r="V32" s="603">
        <f t="array" aca="1" ref="V32" ca="1">SUM(IF((DelPoint= "PV")*IF((DType = "firm")+(DType = "econ")&gt;0,1,0)*(OFFSET(DelPoint,0,V3+2)&gt;0),OFFSET(DelPoint,0,V3+2),0))</f>
        <v>0</v>
      </c>
      <c r="W32" s="603">
        <f t="array" aca="1" ref="W32" ca="1">SUM(IF((DelPoint= "PV")*IF((DType = "firm")+(DType = "econ")&gt;0,1,0)*(OFFSET(DelPoint,0,W3+2)&gt;0),OFFSET(DelPoint,0,W3+2),0))</f>
        <v>0</v>
      </c>
      <c r="X32" s="603">
        <f t="array" aca="1" ref="X32" ca="1">SUM(IF((DelPoint= "PV")*IF((DType = "firm")+(DType = "econ")&gt;0,1,0)*(OFFSET(DelPoint,0,X3+2)&gt;0),OFFSET(DelPoint,0,X3+2),0))</f>
        <v>0</v>
      </c>
      <c r="Y32" s="706">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84">
        <f t="array" aca="1" ref="I33" ca="1">SUM(IF((DelPoint= "4C")*(DType = "pre")*(OFFSET(DelPoint,0,I9+2)&gt;0),OFFSET(DelPoint,0,I9+2),0))</f>
        <v>0</v>
      </c>
      <c r="J33" s="685">
        <f t="array" aca="1" ref="J33" ca="1">SUM(IF((DelPoint= "hidalgo")*(DType = "pre")*(OFFSET(DelPoint,0,J3+2)&gt;0),OFFSET(DelPoint,0,J3+2),0))</f>
        <v>0</v>
      </c>
      <c r="K33" s="685">
        <f t="array" aca="1" ref="K33" ca="1">SUM(IF((DelPoint= "hidalgo")*(DType = "pre")*(OFFSET(DelPoint,0,K3+2)&gt;0),OFFSET(DelPoint,0,K3+2),0))</f>
        <v>0</v>
      </c>
      <c r="L33" s="685">
        <f t="array" aca="1" ref="L33" ca="1">SUM(IF((DelPoint= "hidalgo")*(DType = "pre")*(OFFSET(DelPoint,0,L3+2)&gt;0),OFFSET(DelPoint,0,L3+2),0))</f>
        <v>0</v>
      </c>
      <c r="M33" s="685">
        <f t="array" aca="1" ref="M33" ca="1">SUM(IF((DelPoint= "hidalgo")*(DType = "pre")*(OFFSET(DelPoint,0,M3+2)&gt;0),OFFSET(DelPoint,0,M3+2),0))</f>
        <v>0</v>
      </c>
      <c r="N33" s="685">
        <f t="array" aca="1" ref="N33" ca="1">SUM(IF((DelPoint= "hidalgo")*(DType = "pre")*(OFFSET(DelPoint,0,N3+2)&gt;0),OFFSET(DelPoint,0,N3+2),0))</f>
        <v>0</v>
      </c>
      <c r="O33" s="685">
        <f t="array" aca="1" ref="O33" ca="1">SUM(IF((DelPoint= "hidalgo")*(DType = "pre")*(OFFSET(DelPoint,0,O3+2)&gt;0),OFFSET(DelPoint,0,O3+2),0))</f>
        <v>0</v>
      </c>
      <c r="P33" s="685">
        <f t="array" aca="1" ref="P33" ca="1">SUM(IF((DelPoint= "hidalgo")*(DType = "pre")*(OFFSET(DelPoint,0,P3+2)&gt;0),OFFSET(DelPoint,0,P3+2),0))</f>
        <v>0</v>
      </c>
      <c r="Q33" s="685">
        <f t="array" aca="1" ref="Q33" ca="1">SUM(IF((DelPoint= "hidalgo")*(DType = "pre")*(OFFSET(DelPoint,0,Q3+2)&gt;0),OFFSET(DelPoint,0,Q3+2),0))</f>
        <v>0</v>
      </c>
      <c r="R33" s="685">
        <f t="array" aca="1" ref="R33" ca="1">SUM(IF((DelPoint= "hidalgo")*(DType = "pre")*(OFFSET(DelPoint,0,R3+2)&gt;0),OFFSET(DelPoint,0,R3+2),0))</f>
        <v>0</v>
      </c>
      <c r="S33" s="685">
        <f t="array" aca="1" ref="S33" ca="1">SUM(IF((DelPoint= "hidalgo")*(DType = "pre")*(OFFSET(DelPoint,0,S3+2)&gt;0),OFFSET(DelPoint,0,S3+2),0))</f>
        <v>0</v>
      </c>
      <c r="T33" s="685">
        <f t="array" aca="1" ref="T33" ca="1">SUM(IF((DelPoint= "hidalgo")*(DType = "pre")*(OFFSET(DelPoint,0,T3+2)&gt;0),OFFSET(DelPoint,0,T3+2),0))</f>
        <v>0</v>
      </c>
      <c r="U33" s="685">
        <f t="array" aca="1" ref="U33" ca="1">SUM(IF((DelPoint= "hidalgo")*(DType = "pre")*(OFFSET(DelPoint,0,U3+2)&gt;0),OFFSET(DelPoint,0,U3+2),0))</f>
        <v>0</v>
      </c>
      <c r="V33" s="685">
        <f t="array" aca="1" ref="V33" ca="1">SUM(IF((DelPoint= "hidalgo")*(DType = "pre")*(OFFSET(DelPoint,0,V3+2)&gt;0),OFFSET(DelPoint,0,V3+2),0))</f>
        <v>0</v>
      </c>
      <c r="W33" s="685">
        <f t="array" aca="1" ref="W33" ca="1">SUM(IF((DelPoint= "hidalgo")*(DType = "pre")*(OFFSET(DelPoint,0,W3+2)&gt;0),OFFSET(DelPoint,0,W3+2),0))</f>
        <v>0</v>
      </c>
      <c r="X33" s="685">
        <f t="array" aca="1" ref="X33" ca="1">SUM(IF((DelPoint= "hidalgo")*(DType = "pre")*(OFFSET(DelPoint,0,X3+2)&gt;0),OFFSET(DelPoint,0,X3+2),0))</f>
        <v>0</v>
      </c>
      <c r="Y33" s="686">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80">
        <f t="shared" ca="1" si="2"/>
        <v>0</v>
      </c>
      <c r="F36" s="58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58" t="s">
        <v>253</v>
      </c>
      <c r="B37" s="650"/>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707" t="s">
        <v>121</v>
      </c>
      <c r="B38" s="708">
        <f ca="1">SUM(B22:B37)+B4+B5</f>
        <v>1008</v>
      </c>
      <c r="C38" s="708">
        <f ca="1">SUM(C22:C37)+C4+C5</f>
        <v>954</v>
      </c>
      <c r="D38" s="708">
        <f t="shared" ref="D38:Y38" ca="1" si="4">SUM(D22:D37)+D4+D5</f>
        <v>921</v>
      </c>
      <c r="E38" s="708">
        <f t="shared" ca="1" si="4"/>
        <v>918</v>
      </c>
      <c r="F38" s="708">
        <f t="shared" ca="1" si="4"/>
        <v>927</v>
      </c>
      <c r="G38" s="708">
        <f t="shared" ca="1" si="4"/>
        <v>969</v>
      </c>
      <c r="H38" s="708">
        <f t="shared" ca="1" si="4"/>
        <v>1056</v>
      </c>
      <c r="I38" s="708">
        <f t="shared" ca="1" si="4"/>
        <v>1062</v>
      </c>
      <c r="J38" s="708">
        <f t="shared" ca="1" si="4"/>
        <v>1061</v>
      </c>
      <c r="K38" s="708">
        <f t="shared" ca="1" si="4"/>
        <v>1051</v>
      </c>
      <c r="L38" s="708">
        <f t="shared" ca="1" si="4"/>
        <v>1072</v>
      </c>
      <c r="M38" s="708">
        <f t="shared" ca="1" si="4"/>
        <v>1066</v>
      </c>
      <c r="N38" s="708">
        <f t="shared" ca="1" si="4"/>
        <v>1076</v>
      </c>
      <c r="O38" s="708">
        <f t="shared" ca="1" si="4"/>
        <v>1067</v>
      </c>
      <c r="P38" s="708">
        <f t="shared" ca="1" si="4"/>
        <v>1044</v>
      </c>
      <c r="Q38" s="708">
        <f t="shared" ca="1" si="4"/>
        <v>1047</v>
      </c>
      <c r="R38" s="708">
        <f t="shared" ca="1" si="4"/>
        <v>1036</v>
      </c>
      <c r="S38" s="708">
        <f t="shared" ca="1" si="4"/>
        <v>1107</v>
      </c>
      <c r="T38" s="708">
        <f t="shared" ca="1" si="4"/>
        <v>1145</v>
      </c>
      <c r="U38" s="708">
        <f t="shared" ca="1" si="4"/>
        <v>1153</v>
      </c>
      <c r="V38" s="708">
        <f t="shared" ca="1" si="4"/>
        <v>1140</v>
      </c>
      <c r="W38" s="708">
        <f t="shared" ca="1" si="4"/>
        <v>1100</v>
      </c>
      <c r="X38" s="708">
        <f t="shared" ca="1" si="4"/>
        <v>1041</v>
      </c>
      <c r="Y38" s="708">
        <f t="shared" ca="1" si="4"/>
        <v>1090</v>
      </c>
      <c r="Z38" s="348"/>
      <c r="AA38" s="162"/>
    </row>
    <row r="39" spans="1:33" s="161" customFormat="1" ht="16.5" thickBot="1" x14ac:dyDescent="0.25">
      <c r="A39" s="552" t="s">
        <v>260</v>
      </c>
      <c r="B39" s="553"/>
      <c r="C39" s="554"/>
      <c r="D39" s="554"/>
      <c r="E39" s="581"/>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ht="13.5" thickTop="1" thickBot="1" x14ac:dyDescent="0.25">
      <c r="A40" s="558"/>
      <c r="B40" s="559"/>
      <c r="C40" s="560"/>
      <c r="D40" s="560"/>
      <c r="E40" s="582"/>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61" t="s">
        <v>129</v>
      </c>
      <c r="B41" s="662">
        <v>0</v>
      </c>
      <c r="C41" s="662">
        <v>0</v>
      </c>
      <c r="D41" s="662">
        <v>0</v>
      </c>
      <c r="E41" s="663">
        <v>0</v>
      </c>
      <c r="F41" s="662">
        <v>0</v>
      </c>
      <c r="G41" s="662">
        <v>0</v>
      </c>
      <c r="H41" s="662">
        <v>0</v>
      </c>
      <c r="I41" s="662">
        <v>0</v>
      </c>
      <c r="J41" s="662">
        <v>0</v>
      </c>
      <c r="K41" s="662">
        <v>0</v>
      </c>
      <c r="L41" s="662">
        <v>0</v>
      </c>
      <c r="M41" s="662">
        <v>0</v>
      </c>
      <c r="N41" s="662">
        <v>0</v>
      </c>
      <c r="O41" s="662">
        <v>0</v>
      </c>
      <c r="P41" s="662">
        <v>0</v>
      </c>
      <c r="Q41" s="662">
        <v>0</v>
      </c>
      <c r="R41" s="662">
        <v>0</v>
      </c>
      <c r="S41" s="662">
        <v>0</v>
      </c>
      <c r="T41" s="662">
        <v>0</v>
      </c>
      <c r="U41" s="662">
        <v>0</v>
      </c>
      <c r="V41" s="662">
        <v>0</v>
      </c>
      <c r="W41" s="662">
        <v>0</v>
      </c>
      <c r="X41" s="662">
        <v>0</v>
      </c>
      <c r="Y41" s="664">
        <v>0</v>
      </c>
      <c r="Z41" s="350">
        <v>80</v>
      </c>
      <c r="AA41" s="210">
        <f ca="1">-Economics!D34/Economics!I34</f>
        <v>0</v>
      </c>
    </row>
    <row r="42" spans="1:33" s="161" customFormat="1" ht="15" customHeight="1" x14ac:dyDescent="0.2">
      <c r="A42" s="615" t="s">
        <v>130</v>
      </c>
      <c r="B42" s="619">
        <v>72</v>
      </c>
      <c r="C42" s="619">
        <v>52</v>
      </c>
      <c r="D42" s="619">
        <v>49</v>
      </c>
      <c r="E42" s="620">
        <v>33</v>
      </c>
      <c r="F42" s="619">
        <v>37</v>
      </c>
      <c r="G42" s="619">
        <v>55</v>
      </c>
      <c r="H42" s="619">
        <v>39</v>
      </c>
      <c r="I42" s="619">
        <v>36</v>
      </c>
      <c r="J42" s="619">
        <v>36</v>
      </c>
      <c r="K42" s="619">
        <v>36</v>
      </c>
      <c r="L42" s="619">
        <v>37</v>
      </c>
      <c r="M42" s="619">
        <v>35</v>
      </c>
      <c r="N42" s="619">
        <v>36</v>
      </c>
      <c r="O42" s="619">
        <v>57</v>
      </c>
      <c r="P42" s="619">
        <v>57</v>
      </c>
      <c r="Q42" s="619">
        <v>57</v>
      </c>
      <c r="R42" s="619">
        <v>37</v>
      </c>
      <c r="S42" s="619">
        <v>37</v>
      </c>
      <c r="T42" s="619">
        <v>36</v>
      </c>
      <c r="U42" s="619">
        <v>36</v>
      </c>
      <c r="V42" s="619">
        <v>36</v>
      </c>
      <c r="W42" s="619">
        <v>36</v>
      </c>
      <c r="X42" s="619">
        <v>58</v>
      </c>
      <c r="Y42" s="621">
        <v>58</v>
      </c>
      <c r="Z42" s="350">
        <v>78</v>
      </c>
      <c r="AA42" s="210">
        <f ca="1">-Economics!D35/Economics!I35</f>
        <v>11255.980947066328</v>
      </c>
    </row>
    <row r="43" spans="1:33" s="161" customFormat="1" ht="12.75" customHeight="1" x14ac:dyDescent="0.2">
      <c r="A43" s="616" t="s">
        <v>131</v>
      </c>
      <c r="B43" s="622">
        <v>99</v>
      </c>
      <c r="C43" s="622">
        <v>68</v>
      </c>
      <c r="D43" s="622">
        <v>66</v>
      </c>
      <c r="E43" s="623">
        <v>68</v>
      </c>
      <c r="F43" s="622">
        <v>42</v>
      </c>
      <c r="G43" s="622">
        <v>66</v>
      </c>
      <c r="H43" s="622">
        <v>59</v>
      </c>
      <c r="I43" s="622">
        <v>79</v>
      </c>
      <c r="J43" s="622">
        <v>37</v>
      </c>
      <c r="K43" s="622">
        <v>38</v>
      </c>
      <c r="L43" s="622">
        <v>43</v>
      </c>
      <c r="M43" s="622">
        <v>38</v>
      </c>
      <c r="N43" s="622">
        <v>38</v>
      </c>
      <c r="O43" s="622">
        <v>38</v>
      </c>
      <c r="P43" s="622">
        <v>38</v>
      </c>
      <c r="Q43" s="622">
        <v>38</v>
      </c>
      <c r="R43" s="622">
        <v>38</v>
      </c>
      <c r="S43" s="622">
        <v>42</v>
      </c>
      <c r="T43" s="622">
        <v>49</v>
      </c>
      <c r="U43" s="622">
        <v>41</v>
      </c>
      <c r="V43" s="622">
        <v>38</v>
      </c>
      <c r="W43" s="622">
        <v>38</v>
      </c>
      <c r="X43" s="622">
        <v>0</v>
      </c>
      <c r="Y43" s="624">
        <v>0</v>
      </c>
      <c r="Z43" s="352">
        <v>103</v>
      </c>
      <c r="AA43" s="211">
        <f ca="1">-Economics!D36/Economics!I36</f>
        <v>11577.511160714286</v>
      </c>
    </row>
    <row r="44" spans="1:33" s="161" customFormat="1" ht="12.75" customHeight="1" x14ac:dyDescent="0.2">
      <c r="A44" s="615" t="s">
        <v>49</v>
      </c>
      <c r="B44" s="619">
        <v>21</v>
      </c>
      <c r="C44" s="619">
        <v>15</v>
      </c>
      <c r="D44" s="619">
        <v>16</v>
      </c>
      <c r="E44" s="619">
        <v>15</v>
      </c>
      <c r="F44" s="619">
        <v>21</v>
      </c>
      <c r="G44" s="619">
        <v>30</v>
      </c>
      <c r="H44" s="619">
        <v>0</v>
      </c>
      <c r="I44" s="619">
        <v>0</v>
      </c>
      <c r="J44" s="619">
        <v>0</v>
      </c>
      <c r="K44" s="619">
        <v>0</v>
      </c>
      <c r="L44" s="619"/>
      <c r="M44" s="619">
        <v>0</v>
      </c>
      <c r="N44" s="619">
        <v>0</v>
      </c>
      <c r="O44" s="619">
        <v>0</v>
      </c>
      <c r="P44" s="619">
        <v>0</v>
      </c>
      <c r="Q44" s="619">
        <v>0</v>
      </c>
      <c r="R44" s="619">
        <v>0</v>
      </c>
      <c r="S44" s="619">
        <v>0</v>
      </c>
      <c r="T44" s="619">
        <v>0</v>
      </c>
      <c r="U44" s="619">
        <v>0</v>
      </c>
      <c r="V44" s="619">
        <v>0</v>
      </c>
      <c r="W44" s="619">
        <v>0</v>
      </c>
      <c r="X44" s="619">
        <v>0</v>
      </c>
      <c r="Y44" s="621">
        <v>0</v>
      </c>
      <c r="Z44" s="350">
        <v>40</v>
      </c>
      <c r="AA44" s="210">
        <f ca="1">-Economics!D37/Economics!I37</f>
        <v>2059.9321637834823</v>
      </c>
    </row>
    <row r="45" spans="1:33" s="161" customFormat="1" ht="12.75" customHeight="1" thickBot="1" x14ac:dyDescent="0.25">
      <c r="A45" s="615" t="s">
        <v>50</v>
      </c>
      <c r="B45" s="619">
        <v>20</v>
      </c>
      <c r="C45" s="619">
        <v>15</v>
      </c>
      <c r="D45" s="619">
        <v>15</v>
      </c>
      <c r="E45" s="619">
        <v>15</v>
      </c>
      <c r="F45" s="619">
        <v>20</v>
      </c>
      <c r="G45" s="619">
        <v>29</v>
      </c>
      <c r="H45" s="619">
        <v>0</v>
      </c>
      <c r="I45" s="619">
        <v>0</v>
      </c>
      <c r="J45" s="619">
        <v>0</v>
      </c>
      <c r="K45" s="619">
        <v>0</v>
      </c>
      <c r="L45" s="619"/>
      <c r="M45" s="619">
        <v>0</v>
      </c>
      <c r="N45" s="619">
        <v>0</v>
      </c>
      <c r="O45" s="619">
        <v>0</v>
      </c>
      <c r="P45" s="619">
        <v>0</v>
      </c>
      <c r="Q45" s="619">
        <v>0</v>
      </c>
      <c r="R45" s="619">
        <v>0</v>
      </c>
      <c r="S45" s="619">
        <v>0</v>
      </c>
      <c r="T45" s="619">
        <v>0</v>
      </c>
      <c r="U45" s="619">
        <v>0</v>
      </c>
      <c r="V45" s="619">
        <v>0</v>
      </c>
      <c r="W45" s="619">
        <v>0</v>
      </c>
      <c r="X45" s="619">
        <v>0</v>
      </c>
      <c r="Y45" s="621">
        <v>0</v>
      </c>
      <c r="Z45" s="350">
        <v>40</v>
      </c>
      <c r="AA45" s="210">
        <f ca="1">-Economics!D38/Economics!I38</f>
        <v>2018.5411102917731</v>
      </c>
    </row>
    <row r="46" spans="1:33" s="161" customFormat="1" ht="12.75" customHeight="1" thickBot="1" x14ac:dyDescent="0.25">
      <c r="A46" s="614" t="s">
        <v>348</v>
      </c>
      <c r="B46" s="619">
        <v>0</v>
      </c>
      <c r="C46" s="619">
        <v>0</v>
      </c>
      <c r="D46" s="619">
        <v>0</v>
      </c>
      <c r="E46" s="619">
        <v>0</v>
      </c>
      <c r="F46" s="619">
        <v>0</v>
      </c>
      <c r="G46" s="619">
        <v>0</v>
      </c>
      <c r="H46" s="619">
        <v>0</v>
      </c>
      <c r="I46" s="619">
        <v>0</v>
      </c>
      <c r="J46" s="619">
        <v>0</v>
      </c>
      <c r="K46" s="619">
        <v>0</v>
      </c>
      <c r="L46" s="619">
        <v>0</v>
      </c>
      <c r="M46" s="619">
        <v>0</v>
      </c>
      <c r="N46" s="619">
        <v>0</v>
      </c>
      <c r="O46" s="619">
        <v>0</v>
      </c>
      <c r="P46" s="619">
        <v>0</v>
      </c>
      <c r="Q46" s="619">
        <v>0</v>
      </c>
      <c r="R46" s="619">
        <v>0</v>
      </c>
      <c r="S46" s="619">
        <v>0</v>
      </c>
      <c r="T46" s="619">
        <v>0</v>
      </c>
      <c r="U46" s="619">
        <v>0</v>
      </c>
      <c r="V46" s="619">
        <v>0</v>
      </c>
      <c r="W46" s="619">
        <v>0</v>
      </c>
      <c r="X46" s="619">
        <v>0</v>
      </c>
      <c r="Y46" s="621">
        <v>0</v>
      </c>
      <c r="Z46" s="350">
        <v>108</v>
      </c>
      <c r="AA46" s="210">
        <f ca="1">-Economics!D39/Economics!I39</f>
        <v>0</v>
      </c>
    </row>
    <row r="47" spans="1:33" s="161" customFormat="1" ht="12.75" customHeight="1" x14ac:dyDescent="0.2">
      <c r="A47" s="615" t="s">
        <v>349</v>
      </c>
      <c r="B47" s="619">
        <v>0</v>
      </c>
      <c r="C47" s="619">
        <v>0</v>
      </c>
      <c r="D47" s="619">
        <v>0</v>
      </c>
      <c r="E47" s="619">
        <v>0</v>
      </c>
      <c r="F47" s="619">
        <v>0</v>
      </c>
      <c r="G47" s="619">
        <v>0</v>
      </c>
      <c r="H47" s="619">
        <v>0</v>
      </c>
      <c r="I47" s="619">
        <v>0</v>
      </c>
      <c r="J47" s="619">
        <v>0</v>
      </c>
      <c r="K47" s="619">
        <v>0</v>
      </c>
      <c r="L47" s="619">
        <v>0</v>
      </c>
      <c r="M47" s="619">
        <v>0</v>
      </c>
      <c r="N47" s="619">
        <v>0</v>
      </c>
      <c r="O47" s="619">
        <v>0</v>
      </c>
      <c r="P47" s="619">
        <v>0</v>
      </c>
      <c r="Q47" s="619">
        <v>0</v>
      </c>
      <c r="R47" s="619">
        <v>0</v>
      </c>
      <c r="S47" s="619">
        <v>0</v>
      </c>
      <c r="T47" s="619">
        <v>0</v>
      </c>
      <c r="U47" s="619">
        <v>0</v>
      </c>
      <c r="V47" s="619">
        <v>0</v>
      </c>
      <c r="W47" s="619">
        <v>0</v>
      </c>
      <c r="X47" s="619">
        <v>0</v>
      </c>
      <c r="Y47" s="621">
        <v>0</v>
      </c>
      <c r="Z47" s="350">
        <v>108</v>
      </c>
      <c r="AA47" s="210">
        <f ca="1">-Economics!D40/Economics!I40</f>
        <v>0</v>
      </c>
    </row>
    <row r="48" spans="1:33" s="161" customFormat="1" ht="12.75" customHeight="1" x14ac:dyDescent="0.2">
      <c r="A48" s="616" t="s">
        <v>132</v>
      </c>
      <c r="B48" s="622">
        <v>0</v>
      </c>
      <c r="C48" s="622">
        <v>0</v>
      </c>
      <c r="D48" s="622">
        <v>0</v>
      </c>
      <c r="E48" s="622">
        <v>0</v>
      </c>
      <c r="F48" s="622">
        <v>0</v>
      </c>
      <c r="G48" s="622">
        <v>0</v>
      </c>
      <c r="H48" s="622">
        <v>100</v>
      </c>
      <c r="I48" s="622">
        <v>99</v>
      </c>
      <c r="J48" s="622">
        <v>137</v>
      </c>
      <c r="K48" s="622">
        <v>133</v>
      </c>
      <c r="L48" s="622">
        <v>152</v>
      </c>
      <c r="M48" s="622">
        <v>133</v>
      </c>
      <c r="N48" s="622">
        <v>130</v>
      </c>
      <c r="O48" s="622">
        <v>164</v>
      </c>
      <c r="P48" s="622">
        <v>142</v>
      </c>
      <c r="Q48" s="622">
        <v>146</v>
      </c>
      <c r="R48" s="622">
        <v>150</v>
      </c>
      <c r="S48" s="622">
        <v>130</v>
      </c>
      <c r="T48" s="622">
        <v>201</v>
      </c>
      <c r="U48" s="622">
        <v>203</v>
      </c>
      <c r="V48" s="622">
        <v>196</v>
      </c>
      <c r="W48" s="622">
        <v>197</v>
      </c>
      <c r="X48" s="622">
        <v>198</v>
      </c>
      <c r="Y48" s="624">
        <v>180</v>
      </c>
      <c r="Z48" s="352">
        <v>212</v>
      </c>
      <c r="AA48" s="211">
        <f ca="1">-Economics!D41/Economics!I41</f>
        <v>26854.573899872448</v>
      </c>
    </row>
    <row r="49" spans="1:27" s="161" customFormat="1" ht="12.75" customHeight="1" x14ac:dyDescent="0.2">
      <c r="A49" s="616" t="s">
        <v>133</v>
      </c>
      <c r="B49" s="622">
        <v>0</v>
      </c>
      <c r="C49" s="622">
        <v>0</v>
      </c>
      <c r="D49" s="622">
        <v>0</v>
      </c>
      <c r="E49" s="622">
        <v>0</v>
      </c>
      <c r="F49" s="622">
        <v>0</v>
      </c>
      <c r="G49" s="622">
        <v>0</v>
      </c>
      <c r="H49" s="622">
        <v>0</v>
      </c>
      <c r="I49" s="622">
        <v>0</v>
      </c>
      <c r="J49" s="622">
        <v>0</v>
      </c>
      <c r="K49" s="622">
        <v>0</v>
      </c>
      <c r="L49" s="622">
        <v>0</v>
      </c>
      <c r="M49" s="622">
        <v>0</v>
      </c>
      <c r="N49" s="622">
        <v>0</v>
      </c>
      <c r="O49" s="622">
        <v>0</v>
      </c>
      <c r="P49" s="622">
        <v>0</v>
      </c>
      <c r="Q49" s="622">
        <v>0</v>
      </c>
      <c r="R49" s="622">
        <v>0</v>
      </c>
      <c r="S49" s="622">
        <v>0</v>
      </c>
      <c r="T49" s="622">
        <v>0</v>
      </c>
      <c r="U49" s="622">
        <v>0</v>
      </c>
      <c r="V49" s="622">
        <v>0</v>
      </c>
      <c r="W49" s="622">
        <v>0</v>
      </c>
      <c r="X49" s="622">
        <v>0</v>
      </c>
      <c r="Y49" s="624">
        <v>0</v>
      </c>
      <c r="Z49" s="352">
        <v>68</v>
      </c>
      <c r="AA49" s="211">
        <f ca="1">-Economics!D42/Economics!I42</f>
        <v>0</v>
      </c>
    </row>
    <row r="50" spans="1:27" s="161" customFormat="1" ht="12.75" customHeight="1" x14ac:dyDescent="0.2">
      <c r="A50" s="615" t="s">
        <v>134</v>
      </c>
      <c r="B50" s="619">
        <v>0</v>
      </c>
      <c r="C50" s="619">
        <v>0</v>
      </c>
      <c r="D50" s="619">
        <v>0</v>
      </c>
      <c r="E50" s="619">
        <v>0</v>
      </c>
      <c r="F50" s="619">
        <v>0</v>
      </c>
      <c r="G50" s="619">
        <v>0</v>
      </c>
      <c r="H50" s="619">
        <v>0</v>
      </c>
      <c r="I50" s="619">
        <v>0</v>
      </c>
      <c r="J50" s="619">
        <v>0</v>
      </c>
      <c r="K50" s="619">
        <v>0</v>
      </c>
      <c r="L50" s="619">
        <v>0</v>
      </c>
      <c r="M50" s="619">
        <v>0</v>
      </c>
      <c r="N50" s="619">
        <v>0</v>
      </c>
      <c r="O50" s="619">
        <v>0</v>
      </c>
      <c r="P50" s="619">
        <v>0</v>
      </c>
      <c r="Q50" s="619">
        <v>0</v>
      </c>
      <c r="R50" s="619">
        <v>0</v>
      </c>
      <c r="S50" s="619">
        <v>0</v>
      </c>
      <c r="T50" s="619">
        <v>0</v>
      </c>
      <c r="U50" s="619">
        <v>0</v>
      </c>
      <c r="V50" s="619">
        <v>0</v>
      </c>
      <c r="W50" s="619">
        <v>0</v>
      </c>
      <c r="X50" s="619">
        <v>0</v>
      </c>
      <c r="Y50" s="621">
        <v>0</v>
      </c>
      <c r="Z50" s="350">
        <v>48</v>
      </c>
      <c r="AA50" s="210">
        <f ca="1">-Economics!D43/Economics!I43</f>
        <v>0</v>
      </c>
    </row>
    <row r="51" spans="1:27" s="161" customFormat="1" ht="12.75" customHeight="1" x14ac:dyDescent="0.2">
      <c r="A51" s="615" t="s">
        <v>135</v>
      </c>
      <c r="B51" s="619">
        <v>0</v>
      </c>
      <c r="C51" s="619">
        <v>0</v>
      </c>
      <c r="D51" s="619">
        <v>0</v>
      </c>
      <c r="E51" s="619">
        <v>0</v>
      </c>
      <c r="F51" s="619">
        <v>0</v>
      </c>
      <c r="G51" s="619">
        <v>0</v>
      </c>
      <c r="H51" s="619">
        <v>0</v>
      </c>
      <c r="I51" s="619">
        <v>0</v>
      </c>
      <c r="J51" s="619">
        <v>0</v>
      </c>
      <c r="K51" s="619">
        <v>0</v>
      </c>
      <c r="L51" s="619">
        <v>0</v>
      </c>
      <c r="M51" s="619">
        <v>0</v>
      </c>
      <c r="N51" s="619">
        <v>0</v>
      </c>
      <c r="O51" s="619">
        <v>0</v>
      </c>
      <c r="P51" s="619">
        <v>0</v>
      </c>
      <c r="Q51" s="619">
        <v>0</v>
      </c>
      <c r="R51" s="619">
        <v>0</v>
      </c>
      <c r="S51" s="619">
        <v>0</v>
      </c>
      <c r="T51" s="619">
        <v>0</v>
      </c>
      <c r="U51" s="619">
        <v>0</v>
      </c>
      <c r="V51" s="619">
        <v>0</v>
      </c>
      <c r="W51" s="619">
        <v>0</v>
      </c>
      <c r="X51" s="619">
        <v>0</v>
      </c>
      <c r="Y51" s="621">
        <v>0</v>
      </c>
      <c r="Z51" s="350">
        <v>44</v>
      </c>
      <c r="AA51" s="210">
        <f ca="1">-Economics!D44/Economics!I44</f>
        <v>0</v>
      </c>
    </row>
    <row r="52" spans="1:27" s="161" customFormat="1" ht="12.75" customHeight="1" thickBot="1" x14ac:dyDescent="0.25">
      <c r="A52" s="615" t="s">
        <v>136</v>
      </c>
      <c r="B52" s="619">
        <v>0</v>
      </c>
      <c r="C52" s="619">
        <v>0</v>
      </c>
      <c r="D52" s="619">
        <v>0</v>
      </c>
      <c r="E52" s="619">
        <v>0</v>
      </c>
      <c r="F52" s="619">
        <v>0</v>
      </c>
      <c r="G52" s="619">
        <v>0</v>
      </c>
      <c r="H52" s="619">
        <v>0</v>
      </c>
      <c r="I52" s="619">
        <v>0</v>
      </c>
      <c r="J52" s="619">
        <v>0</v>
      </c>
      <c r="K52" s="619">
        <v>0</v>
      </c>
      <c r="L52" s="619">
        <v>0</v>
      </c>
      <c r="M52" s="619">
        <v>0</v>
      </c>
      <c r="N52" s="619">
        <v>0</v>
      </c>
      <c r="O52" s="619">
        <v>0</v>
      </c>
      <c r="P52" s="619">
        <v>0</v>
      </c>
      <c r="Q52" s="619">
        <v>0</v>
      </c>
      <c r="R52" s="619">
        <v>0</v>
      </c>
      <c r="S52" s="619">
        <v>0</v>
      </c>
      <c r="T52" s="619">
        <v>0</v>
      </c>
      <c r="U52" s="619">
        <v>0</v>
      </c>
      <c r="V52" s="619">
        <v>0</v>
      </c>
      <c r="W52" s="619">
        <v>0</v>
      </c>
      <c r="X52" s="619">
        <v>0</v>
      </c>
      <c r="Y52" s="621">
        <v>0</v>
      </c>
      <c r="Z52" s="353">
        <v>130</v>
      </c>
      <c r="AA52" s="212">
        <f ca="1">-Economics!D45/Economics!I45</f>
        <v>0</v>
      </c>
    </row>
    <row r="53" spans="1:27" s="161" customFormat="1" ht="12.75" customHeight="1" thickTop="1" x14ac:dyDescent="0.2">
      <c r="A53" s="615" t="s">
        <v>126</v>
      </c>
      <c r="B53" s="619">
        <v>201</v>
      </c>
      <c r="C53" s="619">
        <v>201</v>
      </c>
      <c r="D53" s="619">
        <v>201</v>
      </c>
      <c r="E53" s="619">
        <v>201</v>
      </c>
      <c r="F53" s="619">
        <v>202</v>
      </c>
      <c r="G53" s="619">
        <v>201</v>
      </c>
      <c r="H53" s="619">
        <v>201</v>
      </c>
      <c r="I53" s="619">
        <v>201</v>
      </c>
      <c r="J53" s="619">
        <v>201</v>
      </c>
      <c r="K53" s="619">
        <v>201</v>
      </c>
      <c r="L53" s="619">
        <v>202</v>
      </c>
      <c r="M53" s="619">
        <v>201</v>
      </c>
      <c r="N53" s="619">
        <v>201</v>
      </c>
      <c r="O53" s="619">
        <v>200</v>
      </c>
      <c r="P53" s="619">
        <v>200</v>
      </c>
      <c r="Q53" s="619">
        <v>200</v>
      </c>
      <c r="R53" s="619">
        <v>200</v>
      </c>
      <c r="S53" s="619">
        <v>200</v>
      </c>
      <c r="T53" s="619">
        <v>200</v>
      </c>
      <c r="U53" s="619">
        <v>200</v>
      </c>
      <c r="V53" s="619">
        <v>200</v>
      </c>
      <c r="W53" s="619">
        <v>200</v>
      </c>
      <c r="X53" s="619">
        <v>200</v>
      </c>
      <c r="Y53" s="621">
        <v>200</v>
      </c>
      <c r="Z53" s="350">
        <v>198</v>
      </c>
      <c r="AA53" s="208"/>
    </row>
    <row r="54" spans="1:27" s="161" customFormat="1" ht="12.75" customHeight="1" x14ac:dyDescent="0.2">
      <c r="A54" s="615" t="s">
        <v>127</v>
      </c>
      <c r="B54" s="619">
        <v>201</v>
      </c>
      <c r="C54" s="619">
        <v>201</v>
      </c>
      <c r="D54" s="619">
        <v>201</v>
      </c>
      <c r="E54" s="619">
        <v>201</v>
      </c>
      <c r="F54" s="619">
        <v>202</v>
      </c>
      <c r="G54" s="619">
        <v>201</v>
      </c>
      <c r="H54" s="619">
        <v>201</v>
      </c>
      <c r="I54" s="619">
        <v>201</v>
      </c>
      <c r="J54" s="619">
        <v>201</v>
      </c>
      <c r="K54" s="619">
        <v>201</v>
      </c>
      <c r="L54" s="619">
        <v>202</v>
      </c>
      <c r="M54" s="619">
        <v>201</v>
      </c>
      <c r="N54" s="619">
        <v>201</v>
      </c>
      <c r="O54" s="619">
        <v>200</v>
      </c>
      <c r="P54" s="619">
        <v>200</v>
      </c>
      <c r="Q54" s="619">
        <v>200</v>
      </c>
      <c r="R54" s="619">
        <v>200</v>
      </c>
      <c r="S54" s="619">
        <v>200</v>
      </c>
      <c r="T54" s="619">
        <v>200</v>
      </c>
      <c r="U54" s="619">
        <v>200</v>
      </c>
      <c r="V54" s="619">
        <v>200</v>
      </c>
      <c r="W54" s="619">
        <v>200</v>
      </c>
      <c r="X54" s="619">
        <v>200</v>
      </c>
      <c r="Y54" s="621">
        <v>200</v>
      </c>
      <c r="Z54" s="350">
        <v>198</v>
      </c>
      <c r="AA54" s="208"/>
    </row>
    <row r="55" spans="1:27" s="161" customFormat="1" ht="12.75" customHeight="1" x14ac:dyDescent="0.2">
      <c r="A55" s="615" t="s">
        <v>128</v>
      </c>
      <c r="B55" s="619">
        <v>201</v>
      </c>
      <c r="C55" s="619">
        <v>201</v>
      </c>
      <c r="D55" s="619">
        <v>201</v>
      </c>
      <c r="E55" s="619">
        <v>201</v>
      </c>
      <c r="F55" s="619">
        <v>202</v>
      </c>
      <c r="G55" s="619">
        <v>201</v>
      </c>
      <c r="H55" s="619">
        <v>201</v>
      </c>
      <c r="I55" s="619">
        <v>201</v>
      </c>
      <c r="J55" s="619">
        <v>201</v>
      </c>
      <c r="K55" s="619">
        <v>201</v>
      </c>
      <c r="L55" s="619">
        <v>201</v>
      </c>
      <c r="M55" s="619">
        <v>201</v>
      </c>
      <c r="N55" s="619">
        <v>201</v>
      </c>
      <c r="O55" s="619">
        <v>200</v>
      </c>
      <c r="P55" s="619">
        <v>200</v>
      </c>
      <c r="Q55" s="619">
        <v>200</v>
      </c>
      <c r="R55" s="619">
        <v>200</v>
      </c>
      <c r="S55" s="619">
        <v>200</v>
      </c>
      <c r="T55" s="619">
        <v>200</v>
      </c>
      <c r="U55" s="619">
        <v>200</v>
      </c>
      <c r="V55" s="619">
        <v>200</v>
      </c>
      <c r="W55" s="619">
        <v>200</v>
      </c>
      <c r="X55" s="619">
        <v>200</v>
      </c>
      <c r="Y55" s="621">
        <v>200</v>
      </c>
      <c r="Z55" s="350">
        <v>198</v>
      </c>
      <c r="AA55" s="208"/>
    </row>
    <row r="56" spans="1:27" s="161" customFormat="1" ht="12" customHeight="1" x14ac:dyDescent="0.2">
      <c r="A56" s="615" t="s">
        <v>124</v>
      </c>
      <c r="B56" s="619">
        <v>91</v>
      </c>
      <c r="C56" s="619">
        <v>91</v>
      </c>
      <c r="D56" s="619">
        <v>91</v>
      </c>
      <c r="E56" s="619">
        <v>91</v>
      </c>
      <c r="F56" s="619">
        <v>91</v>
      </c>
      <c r="G56" s="619">
        <v>91</v>
      </c>
      <c r="H56" s="619">
        <v>91</v>
      </c>
      <c r="I56" s="619">
        <v>91</v>
      </c>
      <c r="J56" s="619">
        <v>91</v>
      </c>
      <c r="K56" s="619">
        <v>91</v>
      </c>
      <c r="L56" s="619">
        <v>91</v>
      </c>
      <c r="M56" s="619">
        <v>91</v>
      </c>
      <c r="N56" s="619">
        <v>91</v>
      </c>
      <c r="O56" s="619">
        <v>-4</v>
      </c>
      <c r="P56" s="619">
        <v>-3</v>
      </c>
      <c r="Q56" s="619">
        <v>-3</v>
      </c>
      <c r="R56" s="619">
        <v>-2</v>
      </c>
      <c r="S56" s="619">
        <v>-2</v>
      </c>
      <c r="T56" s="619">
        <v>-2</v>
      </c>
      <c r="U56" s="619">
        <v>-2</v>
      </c>
      <c r="V56" s="619">
        <v>-2</v>
      </c>
      <c r="W56" s="619">
        <v>-2</v>
      </c>
      <c r="X56" s="619">
        <v>-2</v>
      </c>
      <c r="Y56" s="621">
        <v>-2</v>
      </c>
      <c r="Z56" s="350">
        <v>52</v>
      </c>
      <c r="AA56" s="208"/>
    </row>
    <row r="57" spans="1:27" s="161" customFormat="1" ht="12.75" customHeight="1" thickBot="1" x14ac:dyDescent="0.25">
      <c r="A57" s="665" t="s">
        <v>125</v>
      </c>
      <c r="B57" s="666"/>
      <c r="C57" s="666"/>
      <c r="D57" s="666"/>
      <c r="E57" s="666"/>
      <c r="F57" s="666"/>
      <c r="G57" s="666"/>
      <c r="H57" s="666"/>
      <c r="I57" s="666"/>
      <c r="J57" s="666"/>
      <c r="K57" s="666"/>
      <c r="L57" s="666"/>
      <c r="M57" s="666">
        <v>0</v>
      </c>
      <c r="N57" s="666"/>
      <c r="O57" s="666"/>
      <c r="P57" s="666"/>
      <c r="Q57" s="666"/>
      <c r="R57" s="666"/>
      <c r="S57" s="666"/>
      <c r="T57" s="666"/>
      <c r="U57" s="666"/>
      <c r="V57" s="666"/>
      <c r="W57" s="666"/>
      <c r="X57" s="666"/>
      <c r="Y57" s="667"/>
      <c r="Z57" s="350">
        <v>52</v>
      </c>
      <c r="AA57" s="208"/>
    </row>
    <row r="58" spans="1:27" s="161" customFormat="1" ht="17.25" customHeight="1" thickBot="1" x14ac:dyDescent="0.25">
      <c r="A58" s="659" t="s">
        <v>10</v>
      </c>
      <c r="B58" s="660">
        <f ca="1">B59-B38</f>
        <v>23</v>
      </c>
      <c r="C58" s="660">
        <f t="shared" ref="C58:I58" ca="1" si="5">C59-C38</f>
        <v>-10</v>
      </c>
      <c r="D58" s="660">
        <f t="shared" ca="1" si="5"/>
        <v>-1</v>
      </c>
      <c r="E58" s="660">
        <f t="shared" ca="1" si="5"/>
        <v>7</v>
      </c>
      <c r="F58" s="660">
        <f t="shared" ca="1" si="5"/>
        <v>-10</v>
      </c>
      <c r="G58" s="660">
        <f t="shared" ca="1" si="5"/>
        <v>5</v>
      </c>
      <c r="H58" s="660">
        <f t="shared" ca="1" si="5"/>
        <v>-4</v>
      </c>
      <c r="I58" s="660">
        <f t="shared" ca="1" si="5"/>
        <v>1</v>
      </c>
      <c r="J58" s="660">
        <f t="shared" ref="J58:Y58" ca="1" si="6">J59-J38</f>
        <v>-2</v>
      </c>
      <c r="K58" s="660">
        <f t="shared" ca="1" si="6"/>
        <v>5</v>
      </c>
      <c r="L58" s="660">
        <f t="shared" ca="1" si="6"/>
        <v>11</v>
      </c>
      <c r="M58" s="660">
        <f t="shared" ca="1" si="6"/>
        <v>9</v>
      </c>
      <c r="N58" s="660">
        <f t="shared" ca="1" si="6"/>
        <v>-3</v>
      </c>
      <c r="O58" s="660">
        <f t="shared" ca="1" si="6"/>
        <v>-7</v>
      </c>
      <c r="P58" s="660">
        <f t="shared" ca="1" si="6"/>
        <v>20</v>
      </c>
      <c r="Q58" s="660">
        <f t="shared" ca="1" si="6"/>
        <v>21</v>
      </c>
      <c r="R58" s="660">
        <f t="shared" ca="1" si="6"/>
        <v>17</v>
      </c>
      <c r="S58" s="660">
        <f t="shared" ca="1" si="6"/>
        <v>17</v>
      </c>
      <c r="T58" s="660">
        <f t="shared" ca="1" si="6"/>
        <v>61</v>
      </c>
      <c r="U58" s="660">
        <f t="shared" ca="1" si="6"/>
        <v>47</v>
      </c>
      <c r="V58" s="660">
        <f t="shared" ca="1" si="6"/>
        <v>50</v>
      </c>
      <c r="W58" s="660">
        <f t="shared" ca="1" si="6"/>
        <v>52</v>
      </c>
      <c r="X58" s="660">
        <f t="shared" ca="1" si="6"/>
        <v>28</v>
      </c>
      <c r="Y58" s="660">
        <f t="shared" ca="1" si="6"/>
        <v>-4</v>
      </c>
      <c r="Z58" s="351">
        <f ca="1">SUM(Z41:Z55)+Z41+Z42+Z43+Z48+Z49+Z50+Z51+Z52</f>
        <v>2416</v>
      </c>
      <c r="AA58" s="209">
        <f ca="1">SUM(AA41:AA55)</f>
        <v>53766.539281728314</v>
      </c>
    </row>
    <row r="59" spans="1:27" s="161" customFormat="1" ht="12" x14ac:dyDescent="0.2">
      <c r="A59" s="556">
        <v>0</v>
      </c>
      <c r="B59" s="557">
        <f t="shared" ref="B59:I59" ca="1" si="7">SUM(B41:B57)-SUM(B7:B20)</f>
        <v>1031</v>
      </c>
      <c r="C59" s="557">
        <f t="shared" ca="1" si="7"/>
        <v>944</v>
      </c>
      <c r="D59" s="557">
        <f t="shared" ca="1" si="7"/>
        <v>920</v>
      </c>
      <c r="E59" s="557">
        <f t="shared" ca="1" si="7"/>
        <v>925</v>
      </c>
      <c r="F59" s="557">
        <f t="shared" ca="1" si="7"/>
        <v>917</v>
      </c>
      <c r="G59" s="557">
        <f t="shared" ca="1" si="7"/>
        <v>974</v>
      </c>
      <c r="H59" s="557">
        <f t="shared" ca="1" si="7"/>
        <v>1052</v>
      </c>
      <c r="I59" s="557">
        <f t="shared" ca="1" si="7"/>
        <v>1063</v>
      </c>
      <c r="J59" s="557">
        <f t="shared" ref="J59:Y59" ca="1" si="8">SUM(J41:J57)-SUM(J7:J20)</f>
        <v>1059</v>
      </c>
      <c r="K59" s="557">
        <f t="shared" ca="1" si="8"/>
        <v>1056</v>
      </c>
      <c r="L59" s="557">
        <f t="shared" ca="1" si="8"/>
        <v>1083</v>
      </c>
      <c r="M59" s="557">
        <f t="shared" ca="1" si="8"/>
        <v>1075</v>
      </c>
      <c r="N59" s="557">
        <f t="shared" ca="1" si="8"/>
        <v>1073</v>
      </c>
      <c r="O59" s="557">
        <f t="shared" ca="1" si="8"/>
        <v>1060</v>
      </c>
      <c r="P59" s="557">
        <f t="shared" ca="1" si="8"/>
        <v>1064</v>
      </c>
      <c r="Q59" s="557">
        <f t="shared" ca="1" si="8"/>
        <v>1068</v>
      </c>
      <c r="R59" s="557">
        <f t="shared" ca="1" si="8"/>
        <v>1053</v>
      </c>
      <c r="S59" s="557">
        <f t="shared" ca="1" si="8"/>
        <v>1124</v>
      </c>
      <c r="T59" s="557">
        <f t="shared" ca="1" si="8"/>
        <v>1206</v>
      </c>
      <c r="U59" s="557">
        <f ca="1">SUM(U41:U57)-SUM(U7:U20)</f>
        <v>1200</v>
      </c>
      <c r="V59" s="557">
        <f t="shared" ca="1" si="8"/>
        <v>1190</v>
      </c>
      <c r="W59" s="557">
        <f t="shared" ca="1" si="8"/>
        <v>1152</v>
      </c>
      <c r="X59" s="557">
        <f t="shared" ca="1" si="8"/>
        <v>1069</v>
      </c>
      <c r="Y59" s="557">
        <f t="shared" ca="1" si="8"/>
        <v>1086</v>
      </c>
      <c r="Z59" s="213">
        <f ca="1">SUM(Economics!D28:D45)</f>
        <v>-208560.67715218751</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50</v>
      </c>
      <c r="C61" s="169">
        <f t="shared" ca="1" si="9"/>
        <v>50</v>
      </c>
      <c r="D61" s="169">
        <f t="shared" ca="1" si="9"/>
        <v>50</v>
      </c>
      <c r="E61" s="169">
        <f ca="1">IF(-SUM(E18:E20,E35:E37)&gt;134,"err",-SUM(E18:E20,))</f>
        <v>50</v>
      </c>
      <c r="F61" s="169">
        <f t="shared" ca="1" si="9"/>
        <v>50</v>
      </c>
      <c r="G61" s="169">
        <f t="shared" ca="1" si="9"/>
        <v>50</v>
      </c>
      <c r="H61" s="169">
        <f t="shared" ca="1" si="9"/>
        <v>80</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133</v>
      </c>
      <c r="X61" s="169">
        <f t="shared" ca="1" si="9"/>
        <v>50</v>
      </c>
      <c r="Y61" s="169">
        <f t="shared" ca="1" si="9"/>
        <v>50</v>
      </c>
      <c r="Z61" s="217" t="s">
        <v>138</v>
      </c>
      <c r="AA61" s="218" t="e">
        <f ca="1">AA59</f>
        <v>#N/A</v>
      </c>
    </row>
    <row r="62" spans="1:27" s="161" customFormat="1" ht="30" customHeight="1" thickTop="1" x14ac:dyDescent="0.2">
      <c r="A62" s="193" t="s">
        <v>139</v>
      </c>
      <c r="B62" s="169">
        <f t="shared" ref="B62:Y62" ca="1" si="10">-SUM(B11:B14,B29:B32,B22) + SUM(B53:B55)</f>
        <v>355</v>
      </c>
      <c r="C62" s="169">
        <f t="shared" ca="1" si="10"/>
        <v>418</v>
      </c>
      <c r="D62" s="169">
        <f t="shared" ca="1" si="10"/>
        <v>433</v>
      </c>
      <c r="E62" s="169">
        <f t="shared" ca="1" si="10"/>
        <v>483</v>
      </c>
      <c r="F62" s="169">
        <f t="shared" ca="1" si="10"/>
        <v>486</v>
      </c>
      <c r="G62" s="169">
        <f t="shared" ca="1" si="10"/>
        <v>473</v>
      </c>
      <c r="H62" s="169">
        <f t="shared" ca="1" si="10"/>
        <v>408</v>
      </c>
      <c r="I62" s="169">
        <f t="shared" ca="1" si="10"/>
        <v>473</v>
      </c>
      <c r="J62" s="169">
        <f t="shared" ca="1" si="10"/>
        <v>523</v>
      </c>
      <c r="K62" s="169">
        <f t="shared" ca="1" si="10"/>
        <v>523</v>
      </c>
      <c r="L62" s="169">
        <f t="shared" ca="1" si="10"/>
        <v>525</v>
      </c>
      <c r="M62" s="169">
        <f t="shared" ca="1" si="10"/>
        <v>543</v>
      </c>
      <c r="N62" s="169">
        <f t="shared" ca="1" si="10"/>
        <v>543</v>
      </c>
      <c r="O62" s="169">
        <f t="shared" ca="1" si="10"/>
        <v>540</v>
      </c>
      <c r="P62" s="169">
        <f t="shared" ca="1" si="10"/>
        <v>565</v>
      </c>
      <c r="Q62" s="169">
        <f t="shared" ca="1" si="10"/>
        <v>565</v>
      </c>
      <c r="R62" s="169">
        <f t="shared" ca="1" si="10"/>
        <v>565</v>
      </c>
      <c r="S62" s="169">
        <f t="shared" ca="1" si="10"/>
        <v>565</v>
      </c>
      <c r="T62" s="169">
        <f t="shared" ca="1" si="10"/>
        <v>545</v>
      </c>
      <c r="U62" s="169">
        <f t="shared" ca="1" si="10"/>
        <v>545</v>
      </c>
      <c r="V62" s="169">
        <f t="shared" ca="1" si="10"/>
        <v>545</v>
      </c>
      <c r="W62" s="169">
        <f t="shared" ca="1" si="10"/>
        <v>555</v>
      </c>
      <c r="X62" s="169">
        <f t="shared" ca="1" si="10"/>
        <v>595</v>
      </c>
      <c r="Y62" s="170">
        <f t="shared" ca="1" si="10"/>
        <v>475</v>
      </c>
      <c r="Z62" s="191"/>
      <c r="AA62" s="162"/>
    </row>
    <row r="63" spans="1:27" s="161" customFormat="1" ht="12" x14ac:dyDescent="0.2">
      <c r="A63" s="193" t="s">
        <v>140</v>
      </c>
      <c r="B63" s="169">
        <f t="shared" ref="B63:L63" ca="1" si="11">-SUM(B8:B10,B25:B28) + SUM(B56:B57)</f>
        <v>111</v>
      </c>
      <c r="C63" s="169">
        <f t="shared" ca="1" si="11"/>
        <v>63</v>
      </c>
      <c r="D63" s="169">
        <f t="shared" ca="1" si="11"/>
        <v>43</v>
      </c>
      <c r="E63" s="169">
        <f t="shared" ca="1" si="11"/>
        <v>13</v>
      </c>
      <c r="F63" s="169">
        <f t="shared" ca="1" si="11"/>
        <v>13</v>
      </c>
      <c r="G63" s="169">
        <f t="shared" ca="1" si="11"/>
        <v>13</v>
      </c>
      <c r="H63" s="169">
        <f t="shared" ca="1" si="11"/>
        <v>93</v>
      </c>
      <c r="I63" s="169">
        <f t="shared" ca="1" si="11"/>
        <v>61</v>
      </c>
      <c r="J63" s="169">
        <f t="shared" ca="1" si="11"/>
        <v>61</v>
      </c>
      <c r="K63" s="169">
        <f t="shared" ca="1" si="11"/>
        <v>61</v>
      </c>
      <c r="L63" s="169">
        <f t="shared" ca="1" si="11"/>
        <v>61</v>
      </c>
      <c r="M63" s="169">
        <f ca="1">-SUM(M8:M10,M25:M28) + SUM(M57:M57)</f>
        <v>-30</v>
      </c>
      <c r="N63" s="169">
        <f t="shared" ref="N63:Y63" ca="1" si="12">-SUM(N8:N10,N25:N28) + SUM(N56:N57)</f>
        <v>61</v>
      </c>
      <c r="O63" s="169">
        <f t="shared" ca="1" si="12"/>
        <v>-4</v>
      </c>
      <c r="P63" s="169">
        <f t="shared" ca="1" si="12"/>
        <v>-3</v>
      </c>
      <c r="Q63" s="169">
        <f t="shared" ca="1" si="12"/>
        <v>-3</v>
      </c>
      <c r="R63" s="169">
        <f t="shared" ca="1" si="12"/>
        <v>-2</v>
      </c>
      <c r="S63" s="169">
        <f t="shared" ca="1" si="12"/>
        <v>32</v>
      </c>
      <c r="T63" s="169">
        <f t="shared" ca="1" si="12"/>
        <v>32</v>
      </c>
      <c r="U63" s="169">
        <f t="shared" ca="1" si="12"/>
        <v>32</v>
      </c>
      <c r="V63" s="169">
        <f t="shared" ca="1" si="12"/>
        <v>32</v>
      </c>
      <c r="W63" s="169">
        <f t="shared" ca="1" si="12"/>
        <v>-7</v>
      </c>
      <c r="X63" s="169">
        <f t="shared" ca="1" si="12"/>
        <v>-32</v>
      </c>
      <c r="Y63" s="170">
        <f t="shared" ca="1" si="12"/>
        <v>20</v>
      </c>
      <c r="Z63" s="191"/>
      <c r="AA63" s="162"/>
    </row>
    <row r="64" spans="1:27" s="161" customFormat="1" ht="12" x14ac:dyDescent="0.2">
      <c r="A64" s="193" t="s">
        <v>141</v>
      </c>
      <c r="B64" s="169">
        <f ca="1">IF(B62+B63&gt;645,"err",B62+B63)</f>
        <v>466</v>
      </c>
      <c r="C64" s="169">
        <f t="shared" ref="C64:Y64" ca="1" si="13">IF(C62+C63&gt;645,"err",C62+C63)</f>
        <v>481</v>
      </c>
      <c r="D64" s="169">
        <f t="shared" ca="1" si="13"/>
        <v>476</v>
      </c>
      <c r="E64" s="169">
        <f t="shared" ca="1" si="13"/>
        <v>496</v>
      </c>
      <c r="F64" s="169">
        <f t="shared" ca="1" si="13"/>
        <v>499</v>
      </c>
      <c r="G64" s="169">
        <f t="shared" ca="1" si="13"/>
        <v>486</v>
      </c>
      <c r="H64" s="169">
        <f t="shared" ca="1" si="13"/>
        <v>501</v>
      </c>
      <c r="I64" s="169">
        <f t="shared" ca="1" si="13"/>
        <v>534</v>
      </c>
      <c r="J64" s="169">
        <f t="shared" ca="1" si="13"/>
        <v>584</v>
      </c>
      <c r="K64" s="169">
        <f t="shared" ca="1" si="13"/>
        <v>584</v>
      </c>
      <c r="L64" s="169">
        <f t="shared" ca="1" si="13"/>
        <v>586</v>
      </c>
      <c r="M64" s="169">
        <f t="shared" ca="1" si="13"/>
        <v>513</v>
      </c>
      <c r="N64" s="169">
        <f t="shared" ca="1" si="13"/>
        <v>604</v>
      </c>
      <c r="O64" s="169">
        <f t="shared" ca="1" si="13"/>
        <v>536</v>
      </c>
      <c r="P64" s="169">
        <f t="shared" ca="1" si="13"/>
        <v>562</v>
      </c>
      <c r="Q64" s="169">
        <f t="shared" ca="1" si="13"/>
        <v>562</v>
      </c>
      <c r="R64" s="169">
        <f t="shared" ca="1" si="13"/>
        <v>563</v>
      </c>
      <c r="S64" s="169">
        <f t="shared" ca="1" si="13"/>
        <v>597</v>
      </c>
      <c r="T64" s="169">
        <f t="shared" ca="1" si="13"/>
        <v>577</v>
      </c>
      <c r="U64" s="169">
        <f t="shared" ca="1" si="13"/>
        <v>577</v>
      </c>
      <c r="V64" s="169">
        <f t="shared" ca="1" si="13"/>
        <v>577</v>
      </c>
      <c r="W64" s="169">
        <f t="shared" ca="1" si="13"/>
        <v>548</v>
      </c>
      <c r="X64" s="169">
        <f t="shared" ca="1" si="13"/>
        <v>563</v>
      </c>
      <c r="Y64" s="170">
        <f t="shared" ca="1" si="13"/>
        <v>495</v>
      </c>
      <c r="Z64" s="192"/>
      <c r="AA64" s="162"/>
    </row>
    <row r="65" spans="1:27" s="161" customFormat="1" ht="12" x14ac:dyDescent="0.2">
      <c r="A65" s="193" t="s">
        <v>18</v>
      </c>
      <c r="B65" s="169">
        <f ca="1">SUM(B61:B63)</f>
        <v>516</v>
      </c>
      <c r="C65" s="169">
        <f t="shared" ref="C65:Y65" ca="1" si="14">SUM(C61:C63)</f>
        <v>531</v>
      </c>
      <c r="D65" s="169">
        <f t="shared" ca="1" si="14"/>
        <v>526</v>
      </c>
      <c r="E65" s="169">
        <f t="shared" ca="1" si="14"/>
        <v>546</v>
      </c>
      <c r="F65" s="169">
        <f t="shared" ca="1" si="14"/>
        <v>549</v>
      </c>
      <c r="G65" s="169">
        <f t="shared" ca="1" si="14"/>
        <v>536</v>
      </c>
      <c r="H65" s="169">
        <f t="shared" ca="1" si="14"/>
        <v>581</v>
      </c>
      <c r="I65" s="169">
        <f t="shared" ca="1" si="14"/>
        <v>614</v>
      </c>
      <c r="J65" s="169">
        <f t="shared" ca="1" si="14"/>
        <v>664</v>
      </c>
      <c r="K65" s="169">
        <f t="shared" ca="1" si="14"/>
        <v>664</v>
      </c>
      <c r="L65" s="169">
        <f t="shared" ca="1" si="14"/>
        <v>666</v>
      </c>
      <c r="M65" s="169">
        <f t="shared" ca="1" si="14"/>
        <v>513</v>
      </c>
      <c r="N65" s="169">
        <f t="shared" ca="1" si="14"/>
        <v>684</v>
      </c>
      <c r="O65" s="169">
        <f t="shared" ca="1" si="14"/>
        <v>616</v>
      </c>
      <c r="P65" s="169">
        <f t="shared" ca="1" si="14"/>
        <v>642</v>
      </c>
      <c r="Q65" s="169">
        <f t="shared" ca="1" si="14"/>
        <v>642</v>
      </c>
      <c r="R65" s="169">
        <f t="shared" ca="1" si="14"/>
        <v>643</v>
      </c>
      <c r="S65" s="169">
        <f t="shared" ca="1" si="14"/>
        <v>730</v>
      </c>
      <c r="T65" s="169">
        <f t="shared" ca="1" si="14"/>
        <v>710</v>
      </c>
      <c r="U65" s="169">
        <f t="shared" ca="1" si="14"/>
        <v>710</v>
      </c>
      <c r="V65" s="169">
        <f t="shared" ca="1" si="14"/>
        <v>710</v>
      </c>
      <c r="W65" s="169">
        <f t="shared" ca="1" si="14"/>
        <v>681</v>
      </c>
      <c r="X65" s="169">
        <f t="shared" ca="1" si="14"/>
        <v>613</v>
      </c>
      <c r="Y65" s="170">
        <f t="shared" ca="1" si="14"/>
        <v>545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40</v>
      </c>
      <c r="C67" s="169">
        <f t="array" ref="C67">SUM(IF(C$41:C$55 = 0,0,$Z$41:$Z$55-C$41:C$55))-INDEX(Balancing!$R$4:$R$27,C$3)</f>
        <v>102</v>
      </c>
      <c r="D67" s="169">
        <f t="array" ref="D67">SUM(IF(D$41:D$55 = 0,0,$Z$41:$Z$55-D$41:D$55))-INDEX(Balancing!$R$4:$R$27,D$3)</f>
        <v>106</v>
      </c>
      <c r="E67" s="169">
        <f t="array" ref="E67">SUM(IF(E$41:E$55 = 0,0,$Z$41:$Z$55-E$41:E$55))-INDEX(Balancing!$R$4:$R$27,E$3)</f>
        <v>121</v>
      </c>
      <c r="F67" s="169">
        <f t="array" ref="F67">SUM(IF(F$41:F$55 = 0,0,$Z$41:$Z$55-F$41:F$55))-INDEX(Balancing!$R$4:$R$27,F$3)</f>
        <v>129</v>
      </c>
      <c r="G67" s="169">
        <f t="array" ref="G67">SUM(IF(G$41:G$55 = 0,0,$Z$41:$Z$55-G$41:G$55))-INDEX(Balancing!$R$4:$R$27,G$3)</f>
        <v>72</v>
      </c>
      <c r="H67" s="169">
        <f t="array" ref="H67">SUM(IF(H$41:H$55 = 0,0,$Z$41:$Z$55-H$41:H$55))-INDEX(Balancing!$R$4:$R$27,H$3)</f>
        <v>186</v>
      </c>
      <c r="I67" s="169">
        <f t="array" ref="I67">SUM(IF(I$41:I$55 = 0,0,$Z$41:$Z$55-I$41:I$55))-INDEX(Balancing!$R$4:$R$27,I$3)</f>
        <v>170</v>
      </c>
      <c r="J67" s="169">
        <f t="array" ref="J67">SUM(IF(J$41:J$55 = 0,0,$Z$41:$Z$55-J$41:J$55))-INDEX(Balancing!$R$4:$R$27,J$3)</f>
        <v>174</v>
      </c>
      <c r="K67" s="169">
        <f t="array" ref="K67">SUM(IF(K$41:K$55 = 0,0,$Z$41:$Z$55-K$41:K$55))-INDEX(Balancing!$R$4:$R$27,K$3)</f>
        <v>177</v>
      </c>
      <c r="L67" s="169">
        <f t="array" ref="L67">SUM(IF(L$41:L$55 = 0,0,$Z$41:$Z$55-L$41:L$55))-INDEX(Balancing!$R$4:$R$27,L$3)</f>
        <v>150</v>
      </c>
      <c r="M67" s="169">
        <f t="array" ref="M67">SUM(IF(M$41:M$55 = 0,0,$Z$41:$Z$55-M$41:M$55))-INDEX(Balancing!$R$4:$R$27,M$3)</f>
        <v>178</v>
      </c>
      <c r="N67" s="169">
        <v>179</v>
      </c>
      <c r="O67" s="169">
        <f t="array" ref="O67">SUM(IF(O$41:O$55 = 0,0,$Z$41:$Z$55-O$41:O$55))-INDEX(Balancing!$R$4:$R$27,O$3)</f>
        <v>128</v>
      </c>
      <c r="P67" s="169">
        <f t="array" ref="P67">SUM(IF(P$41:P$55 = 0,0,$Z$41:$Z$55-P$41:P$55))-INDEX(Balancing!$R$4:$R$27,P$3)</f>
        <v>150</v>
      </c>
      <c r="Q67" s="169">
        <f t="array" ref="Q67">SUM(IF(Q$41:Q$55 = 0,0,$Z$41:$Z$55-Q$41:Q$55))-INDEX(Balancing!$R$4:$R$27,Q$3)</f>
        <v>146</v>
      </c>
      <c r="R67" s="169">
        <f t="array" ref="R67">SUM(IF(R$41:R$55 = 0,0,$Z$41:$Z$55-R$41:R$55))-INDEX(Balancing!$R$4:$R$27,R$3)</f>
        <v>162</v>
      </c>
      <c r="S67" s="169">
        <f t="array" ref="S67">SUM(IF(S$41:S$55 = 0,0,$Z$41:$Z$55-S$41:S$55))-INDEX(Balancing!$R$4:$R$27,S$3)</f>
        <v>178</v>
      </c>
      <c r="T67" s="169">
        <f t="array" ref="T67">SUM(IF(T$41:T$55 = 0,0,$Z$41:$Z$55-T$41:T$55))-INDEX(Balancing!$R$4:$R$27,T$3)</f>
        <v>101</v>
      </c>
      <c r="U67" s="169">
        <f t="array" ref="U67">SUM(IF(U$41:U$55 = 0,0,$Z$41:$Z$55-U$41:U$55))-INDEX(Balancing!$R$4:$R$27,U$3)</f>
        <v>107</v>
      </c>
      <c r="V67" s="169">
        <f t="array" ref="V67">SUM(IF(V$41:V$55 = 0,0,$Z$41:$Z$55-V$41:V$55))-INDEX(Balancing!$R$4:$R$27,V$3)</f>
        <v>117</v>
      </c>
      <c r="W67" s="169">
        <f t="array" ref="W67">SUM(IF(W$41:W$55 = 0,0,$Z$41:$Z$55-W$41:W$55))-INDEX(Balancing!$R$4:$R$27,W$3)</f>
        <v>116</v>
      </c>
      <c r="X67" s="169">
        <f t="array" ref="X67">SUM(IF(X$41:X$55 = 0,0,$Z$41:$Z$55-X$41:X$55))-INDEX(Balancing!$R$4:$R$27,X$3)</f>
        <v>28</v>
      </c>
      <c r="Y67" s="170">
        <f t="array" ref="Y67">SUM(IF(Y$41:Y$55 = 0,0,$Z$41:$Z$55-Y$41:Y$55))-INDEX(Balancing!$R$4:$R$27,Y$3)</f>
        <v>46</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t="str">
        <f t="shared" ref="B69:G69" si="15">IF(B67&lt;0.07*B4,"err",ROUND(B4*0.07,0))</f>
        <v>err</v>
      </c>
      <c r="C69" s="171">
        <f t="shared" si="15"/>
        <v>45</v>
      </c>
      <c r="D69" s="171">
        <f t="shared" si="15"/>
        <v>43</v>
      </c>
      <c r="E69" s="171">
        <f t="shared" si="15"/>
        <v>43</v>
      </c>
      <c r="F69" s="171">
        <f t="shared" si="15"/>
        <v>44</v>
      </c>
      <c r="G69" s="171">
        <f t="shared" si="15"/>
        <v>46</v>
      </c>
      <c r="H69" s="171">
        <f t="shared" ref="H69:X69" si="16">IF(H67&lt;0.07*I4,"err",ROUND(I4*0.07,0))</f>
        <v>53</v>
      </c>
      <c r="I69" s="171">
        <f t="shared" si="16"/>
        <v>56</v>
      </c>
      <c r="J69" s="171">
        <f t="shared" si="16"/>
        <v>55</v>
      </c>
      <c r="K69" s="171">
        <f t="shared" si="16"/>
        <v>57</v>
      </c>
      <c r="L69" s="171">
        <f t="shared" si="16"/>
        <v>56</v>
      </c>
      <c r="M69" s="171">
        <f t="shared" si="16"/>
        <v>57</v>
      </c>
      <c r="N69" s="171">
        <f t="shared" si="16"/>
        <v>56</v>
      </c>
      <c r="O69" s="171">
        <f t="shared" si="16"/>
        <v>55</v>
      </c>
      <c r="P69" s="171">
        <f t="shared" si="16"/>
        <v>55</v>
      </c>
      <c r="Q69" s="171">
        <f t="shared" si="16"/>
        <v>55</v>
      </c>
      <c r="R69" s="171">
        <f t="shared" si="16"/>
        <v>59</v>
      </c>
      <c r="S69" s="171">
        <f t="shared" si="16"/>
        <v>60</v>
      </c>
      <c r="T69" s="171">
        <f t="shared" si="16"/>
        <v>61</v>
      </c>
      <c r="U69" s="171">
        <f t="shared" si="16"/>
        <v>60</v>
      </c>
      <c r="V69" s="171">
        <f t="shared" si="16"/>
        <v>58</v>
      </c>
      <c r="W69" s="171">
        <f t="shared" si="16"/>
        <v>54</v>
      </c>
      <c r="X69" s="171" t="str">
        <f t="shared" si="16"/>
        <v>err</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303</v>
      </c>
      <c r="C78" s="462">
        <f t="shared" ca="1" si="17"/>
        <v>263</v>
      </c>
      <c r="D78" s="462">
        <f t="shared" ca="1" si="17"/>
        <v>248</v>
      </c>
      <c r="E78" s="462">
        <f ca="1">(E22+E25+E29)</f>
        <v>248</v>
      </c>
      <c r="F78" s="462">
        <f t="shared" ca="1" si="17"/>
        <v>248</v>
      </c>
      <c r="G78" s="462">
        <f ca="1">(G22+G25+G29)</f>
        <v>258</v>
      </c>
      <c r="H78" s="462">
        <f ca="1">(H22+H25+H29)</f>
        <v>273</v>
      </c>
      <c r="I78" s="462">
        <f ca="1">(I22+I25+I29)</f>
        <v>175</v>
      </c>
      <c r="J78" s="462">
        <f ca="1">(J22+J25+J29)</f>
        <v>185</v>
      </c>
      <c r="K78" s="462">
        <f t="shared" ca="1" si="17"/>
        <v>185</v>
      </c>
      <c r="L78" s="462">
        <f t="shared" ca="1" si="17"/>
        <v>185</v>
      </c>
      <c r="M78" s="462">
        <f t="shared" ca="1" si="17"/>
        <v>185</v>
      </c>
      <c r="N78" s="462">
        <f t="shared" ca="1" si="17"/>
        <v>185</v>
      </c>
      <c r="O78" s="462">
        <f t="shared" ca="1" si="17"/>
        <v>185</v>
      </c>
      <c r="P78" s="462">
        <f t="shared" ca="1" si="17"/>
        <v>185</v>
      </c>
      <c r="Q78" s="462">
        <f t="shared" ca="1" si="17"/>
        <v>185</v>
      </c>
      <c r="R78" s="462">
        <f t="shared" ca="1" si="17"/>
        <v>185</v>
      </c>
      <c r="S78" s="462">
        <f t="shared" ca="1" si="17"/>
        <v>185</v>
      </c>
      <c r="T78" s="462">
        <f t="shared" ca="1" si="17"/>
        <v>210</v>
      </c>
      <c r="U78" s="462">
        <f t="shared" ca="1" si="17"/>
        <v>210</v>
      </c>
      <c r="V78" s="462">
        <f t="shared" ca="1" si="17"/>
        <v>210</v>
      </c>
      <c r="W78" s="462">
        <f t="shared" ca="1" si="17"/>
        <v>200</v>
      </c>
      <c r="X78" s="462">
        <f t="shared" ca="1" si="17"/>
        <v>200</v>
      </c>
      <c r="Y78" s="462">
        <f t="shared" ca="1" si="17"/>
        <v>303</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Deals!AD134</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5199</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211272.24458336027</v>
      </c>
    </row>
    <row r="87" spans="1:27" x14ac:dyDescent="0.2">
      <c r="X87" s="223"/>
      <c r="Y87" s="224" t="s">
        <v>163</v>
      </c>
      <c r="Z87" s="255">
        <f ca="1">SUM(Z90,Z93,Z96,Z99,Z102,Z107,Z112,Z117,Z122,Z127,Z132,Z137,Z142,Z147,Z152,Z157,Z162)</f>
        <v>243631.73200081644</v>
      </c>
    </row>
    <row r="88" spans="1:27" ht="13.5" thickBot="1" x14ac:dyDescent="0.25">
      <c r="A88" s="173" t="s">
        <v>164</v>
      </c>
      <c r="X88" s="225"/>
      <c r="Y88" s="226" t="s">
        <v>165</v>
      </c>
      <c r="Z88" s="256">
        <f ca="1">Z86-Z87</f>
        <v>-32359.48741745617</v>
      </c>
    </row>
    <row r="89" spans="1:27" x14ac:dyDescent="0.2">
      <c r="A89" s="227" t="str">
        <f>Economics!A28</f>
        <v>4 Corners Unit 4</v>
      </c>
      <c r="B89" s="228">
        <f t="shared" ref="B89:Y89" si="18">B56</f>
        <v>91</v>
      </c>
      <c r="C89" s="228">
        <f t="shared" si="18"/>
        <v>91</v>
      </c>
      <c r="D89" s="228">
        <f t="shared" si="18"/>
        <v>91</v>
      </c>
      <c r="E89" s="228">
        <f>E56</f>
        <v>91</v>
      </c>
      <c r="F89" s="228">
        <f t="shared" si="18"/>
        <v>91</v>
      </c>
      <c r="G89" s="228">
        <f t="shared" si="18"/>
        <v>91</v>
      </c>
      <c r="H89" s="228">
        <f t="shared" si="18"/>
        <v>91</v>
      </c>
      <c r="I89" s="228">
        <f t="shared" si="18"/>
        <v>91</v>
      </c>
      <c r="J89" s="228">
        <f t="shared" si="18"/>
        <v>91</v>
      </c>
      <c r="K89" s="228">
        <f t="shared" si="18"/>
        <v>91</v>
      </c>
      <c r="L89" s="228">
        <f t="shared" si="18"/>
        <v>91</v>
      </c>
      <c r="M89" s="228">
        <f>M57</f>
        <v>0</v>
      </c>
      <c r="N89" s="228">
        <f t="shared" si="18"/>
        <v>91</v>
      </c>
      <c r="O89" s="228">
        <f t="shared" si="18"/>
        <v>-4</v>
      </c>
      <c r="P89" s="228">
        <f t="shared" si="18"/>
        <v>-3</v>
      </c>
      <c r="Q89" s="228">
        <f t="shared" si="18"/>
        <v>-3</v>
      </c>
      <c r="R89" s="228">
        <f t="shared" si="18"/>
        <v>-2</v>
      </c>
      <c r="S89" s="228">
        <f t="shared" si="18"/>
        <v>-2</v>
      </c>
      <c r="T89" s="228">
        <f t="shared" si="18"/>
        <v>-2</v>
      </c>
      <c r="U89" s="228">
        <f t="shared" si="18"/>
        <v>-2</v>
      </c>
      <c r="V89" s="228">
        <f t="shared" si="18"/>
        <v>-2</v>
      </c>
      <c r="W89" s="228">
        <f t="shared" si="18"/>
        <v>-2</v>
      </c>
      <c r="X89" s="228">
        <f t="shared" si="18"/>
        <v>-2</v>
      </c>
      <c r="Y89" s="228">
        <f t="shared" si="18"/>
        <v>-2</v>
      </c>
      <c r="Z89" s="257">
        <f t="array" ref="Z89">SUM(B89:Y89*Economics!F$28)</f>
        <v>13937.822079999998</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12</v>
      </c>
      <c r="C91" s="206">
        <f t="shared" si="19"/>
        <v>-39</v>
      </c>
      <c r="D91" s="206">
        <f t="shared" si="19"/>
        <v>-89</v>
      </c>
      <c r="E91" s="206">
        <f t="shared" si="19"/>
        <v>-89</v>
      </c>
      <c r="F91" s="206">
        <f t="shared" si="19"/>
        <v>-89</v>
      </c>
      <c r="G91" s="206">
        <f t="shared" si="19"/>
        <v>-89</v>
      </c>
      <c r="H91" s="206">
        <f t="shared" si="19"/>
        <v>-39</v>
      </c>
      <c r="I91" s="206">
        <f t="shared" si="19"/>
        <v>-39</v>
      </c>
      <c r="J91" s="206">
        <f t="shared" si="19"/>
        <v>-39</v>
      </c>
      <c r="K91" s="206">
        <f t="shared" si="19"/>
        <v>-39</v>
      </c>
      <c r="L91" s="206">
        <f t="shared" si="19"/>
        <v>12</v>
      </c>
      <c r="M91" s="206">
        <f t="shared" si="19"/>
        <v>103</v>
      </c>
      <c r="N91" s="206">
        <f t="shared" si="19"/>
        <v>12</v>
      </c>
      <c r="O91" s="206">
        <f t="shared" si="19"/>
        <v>107</v>
      </c>
      <c r="P91" s="206">
        <f t="shared" si="19"/>
        <v>106</v>
      </c>
      <c r="Q91" s="206">
        <f t="shared" si="19"/>
        <v>106</v>
      </c>
      <c r="R91" s="206">
        <f t="shared" si="19"/>
        <v>105</v>
      </c>
      <c r="S91" s="206">
        <f t="shared" si="19"/>
        <v>105</v>
      </c>
      <c r="T91" s="206">
        <f t="shared" si="19"/>
        <v>105</v>
      </c>
      <c r="U91" s="206">
        <f t="shared" si="19"/>
        <v>105</v>
      </c>
      <c r="V91" s="206">
        <f t="shared" si="19"/>
        <v>54</v>
      </c>
      <c r="W91" s="206">
        <f t="shared" si="19"/>
        <v>54</v>
      </c>
      <c r="X91" s="206">
        <f t="shared" si="19"/>
        <v>54</v>
      </c>
      <c r="Y91" s="206">
        <f t="shared" si="19"/>
        <v>54</v>
      </c>
      <c r="Z91" s="260">
        <f>Z89-Z90</f>
        <v>-7099.6598399999966</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202</v>
      </c>
      <c r="G95" s="181">
        <f t="shared" si="22"/>
        <v>201</v>
      </c>
      <c r="H95" s="181">
        <f t="shared" si="22"/>
        <v>201</v>
      </c>
      <c r="I95" s="181">
        <f t="shared" si="22"/>
        <v>201</v>
      </c>
      <c r="J95" s="181">
        <f t="shared" si="22"/>
        <v>201</v>
      </c>
      <c r="K95" s="181">
        <f t="shared" si="22"/>
        <v>201</v>
      </c>
      <c r="L95" s="181">
        <f t="shared" si="22"/>
        <v>202</v>
      </c>
      <c r="M95" s="181">
        <f t="shared" si="22"/>
        <v>201</v>
      </c>
      <c r="N95" s="181">
        <f t="shared" si="22"/>
        <v>201</v>
      </c>
      <c r="O95" s="181">
        <f t="shared" si="22"/>
        <v>200</v>
      </c>
      <c r="P95" s="181">
        <f t="shared" si="22"/>
        <v>200</v>
      </c>
      <c r="Q95" s="181">
        <f t="shared" si="22"/>
        <v>200</v>
      </c>
      <c r="R95" s="181">
        <f t="shared" si="22"/>
        <v>200</v>
      </c>
      <c r="S95" s="181">
        <f t="shared" si="22"/>
        <v>200</v>
      </c>
      <c r="T95" s="181">
        <f t="shared" si="22"/>
        <v>200</v>
      </c>
      <c r="U95" s="181">
        <f t="shared" si="22"/>
        <v>200</v>
      </c>
      <c r="V95" s="181">
        <f t="shared" si="22"/>
        <v>200</v>
      </c>
      <c r="W95" s="181">
        <f t="shared" si="22"/>
        <v>200</v>
      </c>
      <c r="X95" s="181">
        <f t="shared" si="22"/>
        <v>200</v>
      </c>
      <c r="Y95" s="181">
        <f t="shared" si="22"/>
        <v>200</v>
      </c>
      <c r="Z95" s="259">
        <f t="array" ref="Z95">SUM(B95:Y95*Economics!F$30)</f>
        <v>29352.240000000009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-2</v>
      </c>
      <c r="G97" s="206">
        <f t="shared" si="23"/>
        <v>-1</v>
      </c>
      <c r="H97" s="206">
        <f t="shared" si="23"/>
        <v>-1</v>
      </c>
      <c r="I97" s="206">
        <f t="shared" si="23"/>
        <v>-1</v>
      </c>
      <c r="J97" s="206">
        <f t="shared" si="23"/>
        <v>-1</v>
      </c>
      <c r="K97" s="206">
        <f t="shared" si="23"/>
        <v>-1</v>
      </c>
      <c r="L97" s="206">
        <f t="shared" si="23"/>
        <v>-2</v>
      </c>
      <c r="M97" s="206">
        <f t="shared" si="23"/>
        <v>-1</v>
      </c>
      <c r="N97" s="206">
        <f t="shared" si="23"/>
        <v>-1</v>
      </c>
      <c r="O97" s="206">
        <f t="shared" si="23"/>
        <v>0</v>
      </c>
      <c r="P97" s="206">
        <f t="shared" si="23"/>
        <v>0</v>
      </c>
      <c r="Q97" s="206">
        <f t="shared" si="23"/>
        <v>0</v>
      </c>
      <c r="R97" s="206">
        <f t="shared" si="23"/>
        <v>0</v>
      </c>
      <c r="S97" s="206">
        <f t="shared" si="23"/>
        <v>0</v>
      </c>
      <c r="T97" s="206">
        <f t="shared" si="23"/>
        <v>0</v>
      </c>
      <c r="U97" s="206">
        <f t="shared" si="23"/>
        <v>0</v>
      </c>
      <c r="V97" s="206">
        <f t="shared" si="23"/>
        <v>0</v>
      </c>
      <c r="W97" s="206">
        <f t="shared" si="23"/>
        <v>0</v>
      </c>
      <c r="X97" s="206">
        <f t="shared" si="23"/>
        <v>0</v>
      </c>
      <c r="Y97" s="206">
        <f t="shared" si="23"/>
        <v>0</v>
      </c>
      <c r="Z97" s="260">
        <f>Z95-Z96</f>
        <v>91.43999999999869</v>
      </c>
    </row>
    <row r="98" spans="1:29" x14ac:dyDescent="0.2">
      <c r="A98" s="183" t="str">
        <f>Economics!A31</f>
        <v>PV Unit 2</v>
      </c>
      <c r="B98" s="181">
        <f t="shared" ref="B98:Y98" si="24">B54</f>
        <v>201</v>
      </c>
      <c r="C98" s="181">
        <f t="shared" si="24"/>
        <v>201</v>
      </c>
      <c r="D98" s="181">
        <f t="shared" si="24"/>
        <v>201</v>
      </c>
      <c r="E98" s="181">
        <f>E54</f>
        <v>201</v>
      </c>
      <c r="F98" s="181">
        <f t="shared" si="24"/>
        <v>202</v>
      </c>
      <c r="G98" s="181">
        <f t="shared" si="24"/>
        <v>201</v>
      </c>
      <c r="H98" s="181">
        <f t="shared" si="24"/>
        <v>201</v>
      </c>
      <c r="I98" s="181">
        <f t="shared" si="24"/>
        <v>201</v>
      </c>
      <c r="J98" s="181">
        <f t="shared" si="24"/>
        <v>201</v>
      </c>
      <c r="K98" s="181">
        <f t="shared" si="24"/>
        <v>201</v>
      </c>
      <c r="L98" s="181">
        <f t="shared" si="24"/>
        <v>202</v>
      </c>
      <c r="M98" s="181">
        <f t="shared" si="24"/>
        <v>201</v>
      </c>
      <c r="N98" s="181">
        <f t="shared" si="24"/>
        <v>201</v>
      </c>
      <c r="O98" s="181">
        <f t="shared" si="24"/>
        <v>200</v>
      </c>
      <c r="P98" s="181">
        <f t="shared" si="24"/>
        <v>200</v>
      </c>
      <c r="Q98" s="181">
        <f t="shared" si="24"/>
        <v>200</v>
      </c>
      <c r="R98" s="181">
        <f t="shared" si="24"/>
        <v>200</v>
      </c>
      <c r="S98" s="181">
        <f t="shared" si="24"/>
        <v>200</v>
      </c>
      <c r="T98" s="181">
        <f t="shared" si="24"/>
        <v>200</v>
      </c>
      <c r="U98" s="181">
        <f t="shared" si="24"/>
        <v>200</v>
      </c>
      <c r="V98" s="181">
        <f t="shared" si="24"/>
        <v>200</v>
      </c>
      <c r="W98" s="181">
        <f t="shared" si="24"/>
        <v>200</v>
      </c>
      <c r="X98" s="181">
        <f t="shared" si="24"/>
        <v>200</v>
      </c>
      <c r="Y98" s="181">
        <f t="shared" si="24"/>
        <v>200</v>
      </c>
      <c r="Z98" s="259">
        <f t="array" ref="Z98">SUM(B98:Y98*Economics!F$31)</f>
        <v>29352.240000000009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-7</v>
      </c>
      <c r="G100" s="206">
        <f t="shared" si="25"/>
        <v>-6</v>
      </c>
      <c r="H100" s="206">
        <f t="shared" si="25"/>
        <v>-6</v>
      </c>
      <c r="I100" s="206">
        <f t="shared" si="25"/>
        <v>-6</v>
      </c>
      <c r="J100" s="206">
        <f t="shared" si="25"/>
        <v>-6</v>
      </c>
      <c r="K100" s="206">
        <f t="shared" si="25"/>
        <v>-6</v>
      </c>
      <c r="L100" s="206">
        <f t="shared" si="25"/>
        <v>-7</v>
      </c>
      <c r="M100" s="206">
        <f t="shared" si="25"/>
        <v>-6</v>
      </c>
      <c r="N100" s="206">
        <f t="shared" si="25"/>
        <v>-6</v>
      </c>
      <c r="O100" s="206">
        <f t="shared" si="25"/>
        <v>-5</v>
      </c>
      <c r="P100" s="206">
        <f t="shared" si="25"/>
        <v>-5</v>
      </c>
      <c r="Q100" s="206">
        <f t="shared" si="25"/>
        <v>-5</v>
      </c>
      <c r="R100" s="206">
        <f t="shared" si="25"/>
        <v>-5</v>
      </c>
      <c r="S100" s="206">
        <f t="shared" si="25"/>
        <v>-5</v>
      </c>
      <c r="T100" s="206">
        <f t="shared" si="25"/>
        <v>-5</v>
      </c>
      <c r="U100" s="206">
        <f t="shared" si="25"/>
        <v>-5</v>
      </c>
      <c r="V100" s="206">
        <f t="shared" si="25"/>
        <v>-5</v>
      </c>
      <c r="W100" s="206">
        <f t="shared" si="25"/>
        <v>-5</v>
      </c>
      <c r="X100" s="206">
        <f t="shared" si="25"/>
        <v>-5</v>
      </c>
      <c r="Y100" s="206">
        <f t="shared" si="25"/>
        <v>-5</v>
      </c>
      <c r="Z100" s="260">
        <f>Z98-Z99</f>
        <v>847.34400000000096</v>
      </c>
    </row>
    <row r="101" spans="1:29" x14ac:dyDescent="0.2">
      <c r="A101" s="183" t="str">
        <f>Economics!A32</f>
        <v>PV Unit 3</v>
      </c>
      <c r="B101" s="181">
        <f t="shared" ref="B101:Y101" si="26">B55</f>
        <v>201</v>
      </c>
      <c r="C101" s="181">
        <f t="shared" si="26"/>
        <v>201</v>
      </c>
      <c r="D101" s="181">
        <f t="shared" si="26"/>
        <v>201</v>
      </c>
      <c r="E101" s="181">
        <f>E55</f>
        <v>201</v>
      </c>
      <c r="F101" s="181">
        <f t="shared" si="26"/>
        <v>202</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200</v>
      </c>
      <c r="P101" s="181">
        <f t="shared" si="26"/>
        <v>200</v>
      </c>
      <c r="Q101" s="181">
        <f t="shared" si="26"/>
        <v>200</v>
      </c>
      <c r="R101" s="181">
        <f t="shared" si="26"/>
        <v>200</v>
      </c>
      <c r="S101" s="181">
        <f t="shared" si="26"/>
        <v>200</v>
      </c>
      <c r="T101" s="181">
        <f t="shared" si="26"/>
        <v>200</v>
      </c>
      <c r="U101" s="181">
        <f t="shared" si="26"/>
        <v>200</v>
      </c>
      <c r="V101" s="181">
        <f t="shared" si="26"/>
        <v>200</v>
      </c>
      <c r="W101" s="181">
        <f t="shared" si="26"/>
        <v>200</v>
      </c>
      <c r="X101" s="181">
        <f t="shared" si="26"/>
        <v>200</v>
      </c>
      <c r="Y101" s="181">
        <f t="shared" si="26"/>
        <v>200</v>
      </c>
      <c r="Z101" s="259">
        <f t="array" ref="Z101">SUM(B101:Y101*Economics!F$32)</f>
        <v>29346.144000000008</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-2</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0</v>
      </c>
      <c r="P103" s="206">
        <f t="shared" si="27"/>
        <v>0</v>
      </c>
      <c r="Q103" s="206">
        <f t="shared" si="27"/>
        <v>0</v>
      </c>
      <c r="R103" s="206">
        <f t="shared" si="27"/>
        <v>0</v>
      </c>
      <c r="S103" s="206">
        <f t="shared" si="27"/>
        <v>0</v>
      </c>
      <c r="T103" s="206">
        <f t="shared" si="27"/>
        <v>0</v>
      </c>
      <c r="U103" s="206">
        <f t="shared" si="27"/>
        <v>0</v>
      </c>
      <c r="V103" s="206">
        <f t="shared" si="27"/>
        <v>0</v>
      </c>
      <c r="W103" s="206">
        <f t="shared" si="27"/>
        <v>0</v>
      </c>
      <c r="X103" s="206">
        <f t="shared" si="27"/>
        <v>0</v>
      </c>
      <c r="Y103" s="206">
        <f t="shared" si="27"/>
        <v>0</v>
      </c>
      <c r="Z103" s="260">
        <f>Z101-Z102</f>
        <v>85.343999999997322</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72</v>
      </c>
      <c r="C109" s="181">
        <f t="shared" ref="C109:Y109" si="32">C42</f>
        <v>52</v>
      </c>
      <c r="D109" s="181">
        <f t="shared" si="32"/>
        <v>49</v>
      </c>
      <c r="E109" s="181">
        <f>E42</f>
        <v>33</v>
      </c>
      <c r="F109" s="181">
        <f t="shared" si="32"/>
        <v>37</v>
      </c>
      <c r="G109" s="181">
        <f t="shared" si="32"/>
        <v>55</v>
      </c>
      <c r="H109" s="181">
        <f t="shared" si="32"/>
        <v>39</v>
      </c>
      <c r="I109" s="181">
        <f>I42</f>
        <v>36</v>
      </c>
      <c r="J109" s="181">
        <f t="shared" si="32"/>
        <v>36</v>
      </c>
      <c r="K109" s="181">
        <f t="shared" si="32"/>
        <v>36</v>
      </c>
      <c r="L109" s="181">
        <f t="shared" si="32"/>
        <v>37</v>
      </c>
      <c r="M109" s="181">
        <f t="shared" si="32"/>
        <v>35</v>
      </c>
      <c r="N109" s="181">
        <f t="shared" si="32"/>
        <v>36</v>
      </c>
      <c r="O109" s="181">
        <f t="shared" si="32"/>
        <v>57</v>
      </c>
      <c r="P109" s="181">
        <f t="shared" si="32"/>
        <v>57</v>
      </c>
      <c r="Q109" s="181">
        <f t="shared" si="32"/>
        <v>57</v>
      </c>
      <c r="R109" s="181">
        <f t="shared" si="32"/>
        <v>37</v>
      </c>
      <c r="S109" s="181">
        <f t="shared" si="32"/>
        <v>37</v>
      </c>
      <c r="T109" s="181">
        <f t="shared" si="32"/>
        <v>36</v>
      </c>
      <c r="U109" s="181">
        <f t="shared" si="32"/>
        <v>36</v>
      </c>
      <c r="V109" s="181">
        <f t="shared" si="32"/>
        <v>36</v>
      </c>
      <c r="W109" s="181">
        <f t="shared" si="32"/>
        <v>36</v>
      </c>
      <c r="X109" s="181">
        <f t="shared" si="32"/>
        <v>58</v>
      </c>
      <c r="Y109" s="181">
        <f t="shared" si="32"/>
        <v>58</v>
      </c>
      <c r="Z109" s="219">
        <f>SUM(B109:Y109)</f>
        <v>1058</v>
      </c>
      <c r="AA109" s="318" t="s">
        <v>170</v>
      </c>
    </row>
    <row r="110" spans="1:29" x14ac:dyDescent="0.2">
      <c r="A110" s="185">
        <f>Economics!$I35</f>
        <v>1.96</v>
      </c>
      <c r="B110" s="189">
        <f t="shared" ref="B110:Y110" ca="1" si="33">IndGencost(B109,OFFSET(HeatRateStart,1,MATCH($A109,HeatRateNames,0)-1,250,1),$A110)</f>
        <v>20.285325283696917</v>
      </c>
      <c r="C110" s="189">
        <f t="shared" ca="1" si="33"/>
        <v>20.5811764005661</v>
      </c>
      <c r="D110" s="189">
        <f t="shared" ca="1" si="33"/>
        <v>20.66101240211993</v>
      </c>
      <c r="E110" s="189">
        <f ca="1">IndGencost(E109,OFFSET(HeatRateStart,1,MATCH($A109,HeatRateNames,0)-1,250,1),$A110)</f>
        <v>21.427652901889342</v>
      </c>
      <c r="F110" s="189">
        <f t="shared" ca="1" si="33"/>
        <v>21.160356411838535</v>
      </c>
      <c r="G110" s="189">
        <f t="shared" ca="1" si="33"/>
        <v>20.51344949015704</v>
      </c>
      <c r="H110" s="189">
        <f t="shared" ca="1" si="33"/>
        <v>21.050465743033094</v>
      </c>
      <c r="I110" s="189">
        <f t="shared" ca="1" si="33"/>
        <v>21.220746190791662</v>
      </c>
      <c r="J110" s="189">
        <f t="shared" ca="1" si="33"/>
        <v>21.220746190791662</v>
      </c>
      <c r="K110" s="189">
        <f t="shared" ca="1" si="33"/>
        <v>21.220746190791662</v>
      </c>
      <c r="L110" s="189">
        <f t="shared" ca="1" si="33"/>
        <v>21.160356411838535</v>
      </c>
      <c r="M110" s="189">
        <f t="shared" ca="1" si="33"/>
        <v>21.285180414267952</v>
      </c>
      <c r="N110" s="189">
        <f t="shared" ca="1" si="33"/>
        <v>21.220746190791662</v>
      </c>
      <c r="O110" s="189">
        <f t="shared" ca="1" si="33"/>
        <v>20.47408131076244</v>
      </c>
      <c r="P110" s="189">
        <f t="shared" ca="1" si="33"/>
        <v>20.47408131076244</v>
      </c>
      <c r="Q110" s="189">
        <f t="shared" ca="1" si="33"/>
        <v>20.47408131076244</v>
      </c>
      <c r="R110" s="189">
        <f t="shared" ca="1" si="33"/>
        <v>21.160356411838535</v>
      </c>
      <c r="S110" s="189">
        <f t="shared" ca="1" si="33"/>
        <v>21.160356411838535</v>
      </c>
      <c r="T110" s="189">
        <f t="shared" ca="1" si="33"/>
        <v>21.220746190791662</v>
      </c>
      <c r="U110" s="189">
        <f t="shared" ca="1" si="33"/>
        <v>21.220746190791662</v>
      </c>
      <c r="V110" s="189">
        <f t="shared" ca="1" si="33"/>
        <v>21.220746190791662</v>
      </c>
      <c r="W110" s="189">
        <f t="shared" ca="1" si="33"/>
        <v>21.220746190791662</v>
      </c>
      <c r="X110" s="189">
        <f t="shared" ca="1" si="33"/>
        <v>20.455952673990978</v>
      </c>
      <c r="Y110" s="189">
        <f t="shared" ca="1" si="33"/>
        <v>20.455952673990978</v>
      </c>
      <c r="Z110" s="259">
        <f t="array" aca="1" ref="Z110" ca="1">SUM(B109:Y109*B110:Y110)</f>
        <v>22061.722013381575</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1.3058644268493929</v>
      </c>
      <c r="C113" s="188">
        <f t="shared" ca="1" si="35"/>
        <v>1.0100133099802093</v>
      </c>
      <c r="D113" s="188">
        <f t="shared" ca="1" si="35"/>
        <v>0.93017730842638002</v>
      </c>
      <c r="E113" s="188">
        <f t="shared" ca="1" si="35"/>
        <v>0.16353680865696774</v>
      </c>
      <c r="F113" s="188">
        <f t="shared" ca="1" si="35"/>
        <v>0.43083329870777476</v>
      </c>
      <c r="G113" s="188">
        <f t="shared" ca="1" si="35"/>
        <v>1.0777402203892699</v>
      </c>
      <c r="H113" s="188">
        <f t="shared" ca="1" si="35"/>
        <v>0.54072396751321605</v>
      </c>
      <c r="I113" s="188">
        <f t="shared" ca="1" si="35"/>
        <v>0.37044351975464807</v>
      </c>
      <c r="J113" s="188">
        <f t="shared" ca="1" si="35"/>
        <v>0.37044351975464807</v>
      </c>
      <c r="K113" s="188">
        <f t="shared" ca="1" si="35"/>
        <v>0.37044351975464807</v>
      </c>
      <c r="L113" s="188">
        <f t="shared" ca="1" si="35"/>
        <v>0.43083329870777476</v>
      </c>
      <c r="M113" s="188">
        <f t="shared" ca="1" si="35"/>
        <v>0.30600929627835782</v>
      </c>
      <c r="N113" s="188">
        <f t="shared" ca="1" si="35"/>
        <v>0.37044351975464807</v>
      </c>
      <c r="O113" s="188">
        <f t="shared" ca="1" si="35"/>
        <v>1.11710839978387</v>
      </c>
      <c r="P113" s="188">
        <f t="shared" ca="1" si="35"/>
        <v>1.11710839978387</v>
      </c>
      <c r="Q113" s="188">
        <f t="shared" ca="1" si="35"/>
        <v>1.11710839978387</v>
      </c>
      <c r="R113" s="188">
        <f t="shared" ca="1" si="35"/>
        <v>0.43083329870777476</v>
      </c>
      <c r="S113" s="188">
        <f t="shared" ca="1" si="35"/>
        <v>0.43083329870777476</v>
      </c>
      <c r="T113" s="188">
        <f t="shared" ca="1" si="35"/>
        <v>0.37044351975464807</v>
      </c>
      <c r="U113" s="188">
        <f t="shared" ca="1" si="35"/>
        <v>0.37044351975464807</v>
      </c>
      <c r="V113" s="188">
        <f t="shared" ca="1" si="35"/>
        <v>0.37044351975464807</v>
      </c>
      <c r="W113" s="188">
        <f t="shared" ca="1" si="35"/>
        <v>0.37044351975464807</v>
      </c>
      <c r="X113" s="188">
        <f t="shared" ca="1" si="35"/>
        <v>1.1352370365553313</v>
      </c>
      <c r="Y113" s="188">
        <f t="shared" ca="1" si="35"/>
        <v>1.1352370365553313</v>
      </c>
      <c r="Z113" s="260">
        <f ca="1">Z110-Z112</f>
        <v>5997.8768687351112</v>
      </c>
      <c r="AC113" s="174"/>
    </row>
    <row r="114" spans="1:29" x14ac:dyDescent="0.2">
      <c r="A114" s="183" t="str">
        <f>Economics!A36</f>
        <v>Newman 3</v>
      </c>
      <c r="B114" s="181">
        <f t="shared" ref="B114:Y114" si="36">B43</f>
        <v>99</v>
      </c>
      <c r="C114" s="181">
        <f t="shared" si="36"/>
        <v>68</v>
      </c>
      <c r="D114" s="181">
        <f t="shared" si="36"/>
        <v>66</v>
      </c>
      <c r="E114" s="181">
        <f>E43</f>
        <v>68</v>
      </c>
      <c r="F114" s="181">
        <f t="shared" si="36"/>
        <v>42</v>
      </c>
      <c r="G114" s="181">
        <f t="shared" si="36"/>
        <v>66</v>
      </c>
      <c r="H114" s="181">
        <f t="shared" si="36"/>
        <v>59</v>
      </c>
      <c r="I114" s="181">
        <f t="shared" si="36"/>
        <v>79</v>
      </c>
      <c r="J114" s="181">
        <f t="shared" si="36"/>
        <v>37</v>
      </c>
      <c r="K114" s="181">
        <f t="shared" si="36"/>
        <v>38</v>
      </c>
      <c r="L114" s="181">
        <f t="shared" si="36"/>
        <v>43</v>
      </c>
      <c r="M114" s="181">
        <f t="shared" si="36"/>
        <v>38</v>
      </c>
      <c r="N114" s="181">
        <f t="shared" si="36"/>
        <v>38</v>
      </c>
      <c r="O114" s="181">
        <f t="shared" si="36"/>
        <v>38</v>
      </c>
      <c r="P114" s="181">
        <f t="shared" si="36"/>
        <v>38</v>
      </c>
      <c r="Q114" s="181">
        <f t="shared" si="36"/>
        <v>38</v>
      </c>
      <c r="R114" s="181">
        <f t="shared" si="36"/>
        <v>38</v>
      </c>
      <c r="S114" s="181">
        <f t="shared" si="36"/>
        <v>42</v>
      </c>
      <c r="T114" s="181">
        <f t="shared" si="36"/>
        <v>49</v>
      </c>
      <c r="U114" s="181">
        <f t="shared" si="36"/>
        <v>41</v>
      </c>
      <c r="V114" s="181">
        <f t="shared" si="36"/>
        <v>38</v>
      </c>
      <c r="W114" s="181">
        <f t="shared" si="36"/>
        <v>38</v>
      </c>
      <c r="X114" s="181">
        <f t="shared" si="36"/>
        <v>0</v>
      </c>
      <c r="Y114" s="181">
        <f t="shared" si="36"/>
        <v>0</v>
      </c>
      <c r="Z114" s="219">
        <f>SUM(B114:Y114)</f>
        <v>1101</v>
      </c>
      <c r="AA114" s="318" t="s">
        <v>172</v>
      </c>
    </row>
    <row r="115" spans="1:29" x14ac:dyDescent="0.2">
      <c r="A115" s="185">
        <f>Economics!$I36</f>
        <v>1.96</v>
      </c>
      <c r="B115" s="189">
        <f t="shared" ref="B115:Y115" ca="1" si="37">IndGencost(B114,OFFSET(HeatRateStart,1,MATCH($A114,HeatRateNames,0)-1,250,1),$A115)</f>
        <v>19.764383010931688</v>
      </c>
      <c r="C115" s="189">
        <f t="shared" ca="1" si="37"/>
        <v>19.883105092862071</v>
      </c>
      <c r="D115" s="189">
        <f t="shared" ca="1" si="37"/>
        <v>19.920074327093182</v>
      </c>
      <c r="E115" s="189">
        <f ca="1">IndGencost(E114,OFFSET(HeatRateStart,1,MATCH($A114,HeatRateNames,0)-1,250,1),$A115)</f>
        <v>19.883105092862071</v>
      </c>
      <c r="F115" s="189">
        <f t="shared" ca="1" si="37"/>
        <v>21.01689374237969</v>
      </c>
      <c r="G115" s="189">
        <f t="shared" ca="1" si="37"/>
        <v>19.920074327093182</v>
      </c>
      <c r="H115" s="189">
        <f t="shared" ca="1" si="37"/>
        <v>20.096411916554988</v>
      </c>
      <c r="I115" s="189">
        <f t="shared" ca="1" si="37"/>
        <v>19.759355827609195</v>
      </c>
      <c r="J115" s="189">
        <f t="shared" ca="1" si="37"/>
        <v>21.524349608112029</v>
      </c>
      <c r="K115" s="189">
        <f t="shared" ca="1" si="37"/>
        <v>21.409493048266363</v>
      </c>
      <c r="L115" s="189">
        <f t="shared" ca="1" si="37"/>
        <v>20.933119477183322</v>
      </c>
      <c r="M115" s="189">
        <f t="shared" ca="1" si="37"/>
        <v>21.409493048266363</v>
      </c>
      <c r="N115" s="189">
        <f t="shared" ca="1" si="37"/>
        <v>21.409493048266363</v>
      </c>
      <c r="O115" s="189">
        <f t="shared" ca="1" si="37"/>
        <v>21.409493048266363</v>
      </c>
      <c r="P115" s="189">
        <f t="shared" ca="1" si="37"/>
        <v>21.409493048266363</v>
      </c>
      <c r="Q115" s="189">
        <f t="shared" ca="1" si="37"/>
        <v>21.409493048266363</v>
      </c>
      <c r="R115" s="189">
        <f t="shared" ca="1" si="37"/>
        <v>21.409493048266363</v>
      </c>
      <c r="S115" s="189">
        <f t="shared" ca="1" si="37"/>
        <v>21.01689374237969</v>
      </c>
      <c r="T115" s="189">
        <f t="shared" ca="1" si="37"/>
        <v>20.52412039945564</v>
      </c>
      <c r="U115" s="189">
        <f t="shared" ca="1" si="37"/>
        <v>21.105997483951292</v>
      </c>
      <c r="V115" s="189">
        <f t="shared" ca="1" si="37"/>
        <v>21.409493048266363</v>
      </c>
      <c r="W115" s="189">
        <f t="shared" ca="1" si="37"/>
        <v>21.409493048266363</v>
      </c>
      <c r="X115" s="189">
        <f t="shared" ca="1" si="37"/>
        <v>0</v>
      </c>
      <c r="Y115" s="189">
        <f t="shared" ca="1" si="37"/>
        <v>0</v>
      </c>
      <c r="Z115" s="259">
        <f t="array" aca="1" ref="Z115" ca="1">SUM(B114:Y114*B115:Y115)</f>
        <v>22691.922001646999</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-19.764383010931688</v>
      </c>
      <c r="C118" s="188">
        <f t="shared" ca="1" si="39"/>
        <v>-19.883105092862071</v>
      </c>
      <c r="D118" s="188">
        <f t="shared" ca="1" si="39"/>
        <v>-19.920074327093182</v>
      </c>
      <c r="E118" s="188">
        <f t="shared" ca="1" si="39"/>
        <v>-19.883105092862071</v>
      </c>
      <c r="F118" s="188">
        <f t="shared" ca="1" si="39"/>
        <v>-21.01689374237969</v>
      </c>
      <c r="G118" s="188">
        <f t="shared" ca="1" si="39"/>
        <v>-19.920074327093182</v>
      </c>
      <c r="H118" s="188">
        <f t="shared" ca="1" si="39"/>
        <v>-20.096411916554988</v>
      </c>
      <c r="I118" s="188">
        <f t="shared" ca="1" si="39"/>
        <v>-19.759355827609195</v>
      </c>
      <c r="J118" s="188">
        <f t="shared" ca="1" si="39"/>
        <v>-21.524349608112029</v>
      </c>
      <c r="K118" s="188">
        <f t="shared" ca="1" si="39"/>
        <v>-21.409493048266363</v>
      </c>
      <c r="L118" s="188">
        <f t="shared" ca="1" si="39"/>
        <v>-20.933119477183322</v>
      </c>
      <c r="M118" s="188">
        <f t="shared" ca="1" si="39"/>
        <v>-21.409493048266363</v>
      </c>
      <c r="N118" s="188">
        <f t="shared" ca="1" si="39"/>
        <v>-21.409493048266363</v>
      </c>
      <c r="O118" s="188">
        <f t="shared" ca="1" si="39"/>
        <v>-21.409493048266363</v>
      </c>
      <c r="P118" s="188">
        <f t="shared" ca="1" si="39"/>
        <v>-21.409493048266363</v>
      </c>
      <c r="Q118" s="188">
        <f t="shared" ca="1" si="39"/>
        <v>-21.409493048266363</v>
      </c>
      <c r="R118" s="188">
        <f t="shared" ca="1" si="39"/>
        <v>-21.409493048266363</v>
      </c>
      <c r="S118" s="188">
        <f t="shared" ca="1" si="39"/>
        <v>-21.01689374237969</v>
      </c>
      <c r="T118" s="188">
        <f t="shared" ca="1" si="39"/>
        <v>-20.52412039945564</v>
      </c>
      <c r="U118" s="188">
        <f t="shared" ca="1" si="39"/>
        <v>-21.105997483951292</v>
      </c>
      <c r="V118" s="188">
        <f t="shared" ca="1" si="39"/>
        <v>-21.409493048266363</v>
      </c>
      <c r="W118" s="188">
        <f t="shared" ca="1" si="39"/>
        <v>-21.409493048266363</v>
      </c>
      <c r="X118" s="188">
        <f t="shared" ca="1" si="39"/>
        <v>0</v>
      </c>
      <c r="Y118" s="188">
        <f t="shared" ca="1" si="39"/>
        <v>0</v>
      </c>
      <c r="Z118" s="260">
        <f ca="1">Z115-Z117</f>
        <v>22691.922001646999</v>
      </c>
    </row>
    <row r="119" spans="1:29" x14ac:dyDescent="0.2">
      <c r="A119" s="183" t="str">
        <f>Economics!A37</f>
        <v>GT 1</v>
      </c>
      <c r="B119" s="181">
        <f t="shared" ref="B119:Y119" si="40">B44</f>
        <v>21</v>
      </c>
      <c r="C119" s="181">
        <f t="shared" si="40"/>
        <v>15</v>
      </c>
      <c r="D119" s="181">
        <f t="shared" si="40"/>
        <v>16</v>
      </c>
      <c r="E119" s="181">
        <f>E44</f>
        <v>15</v>
      </c>
      <c r="F119" s="181">
        <f t="shared" si="40"/>
        <v>21</v>
      </c>
      <c r="G119" s="181">
        <f t="shared" si="40"/>
        <v>30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118</v>
      </c>
      <c r="AA119" s="318" t="s">
        <v>174</v>
      </c>
    </row>
    <row r="120" spans="1:29" x14ac:dyDescent="0.2">
      <c r="A120" s="185">
        <f>Economics!$I37</f>
        <v>1.96</v>
      </c>
      <c r="B120" s="189">
        <f t="shared" ref="B120:Y120" ca="1" si="41">IndGencost(B119,OFFSET(HeatRateStart,1,MATCH($A119,HeatRateNames,0)-1,250,1),$A120)</f>
        <v>33.277313434334395</v>
      </c>
      <c r="C120" s="189">
        <f t="shared" ca="1" si="41"/>
        <v>38.577599484159158</v>
      </c>
      <c r="D120" s="189">
        <f t="shared" ca="1" si="41"/>
        <v>37.406771248038289</v>
      </c>
      <c r="E120" s="189">
        <f ca="1">IndGencost(E119,OFFSET(HeatRateStart,1,MATCH($A119,HeatRateNames,0)-1,250,1),$A120)</f>
        <v>38.577599484159158</v>
      </c>
      <c r="F120" s="189">
        <f t="shared" ca="1" si="41"/>
        <v>33.277313434334395</v>
      </c>
      <c r="G120" s="189">
        <f t="shared" ca="1" si="41"/>
        <v>29.466124440158211</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4037.4672219401787</v>
      </c>
      <c r="AA120" s="318" t="s">
        <v>167</v>
      </c>
    </row>
    <row r="121" spans="1:29" x14ac:dyDescent="0.2">
      <c r="A121" s="184" t="s">
        <v>163</v>
      </c>
      <c r="B121" s="186">
        <f t="shared" ref="B121:Y121" si="42">B119</f>
        <v>21</v>
      </c>
      <c r="C121" s="186">
        <f t="shared" si="42"/>
        <v>15</v>
      </c>
      <c r="D121" s="186">
        <f t="shared" si="42"/>
        <v>16</v>
      </c>
      <c r="E121" s="186">
        <f t="shared" si="42"/>
        <v>15</v>
      </c>
      <c r="F121" s="186">
        <f t="shared" si="42"/>
        <v>21</v>
      </c>
      <c r="G121" s="186">
        <f t="shared" si="42"/>
        <v>30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118</v>
      </c>
    </row>
    <row r="122" spans="1:29" x14ac:dyDescent="0.2">
      <c r="A122" s="182"/>
      <c r="B122" s="190">
        <f t="shared" ref="B122:Y122" ca="1" si="43">IndGencost(B121,OFFSET(HeatRateStart,1,MATCH($A119,HeatRateNames,0)-1,250,1),$A120)</f>
        <v>33.277313434334395</v>
      </c>
      <c r="C122" s="190">
        <f t="shared" ca="1" si="43"/>
        <v>38.577599484159158</v>
      </c>
      <c r="D122" s="190">
        <f t="shared" ca="1" si="43"/>
        <v>37.406771248038289</v>
      </c>
      <c r="E122" s="190">
        <f ca="1">IndGencost(E121,OFFSET(HeatRateStart,1,MATCH($A119,HeatRateNames,0)-1,250,1),$A120)</f>
        <v>38.577599484159158</v>
      </c>
      <c r="F122" s="190">
        <f t="shared" ca="1" si="43"/>
        <v>33.277313434334395</v>
      </c>
      <c r="G122" s="190">
        <f t="shared" ca="1" si="43"/>
        <v>29.466124440158211</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4037.4672219401787</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20</v>
      </c>
      <c r="C124" s="181">
        <f t="shared" si="45"/>
        <v>15</v>
      </c>
      <c r="D124" s="181">
        <f t="shared" si="45"/>
        <v>15</v>
      </c>
      <c r="E124" s="181">
        <f>E45</f>
        <v>15</v>
      </c>
      <c r="F124" s="181">
        <f t="shared" si="45"/>
        <v>20</v>
      </c>
      <c r="G124" s="181">
        <f t="shared" si="45"/>
        <v>29</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114</v>
      </c>
      <c r="AA124" s="318" t="s">
        <v>174</v>
      </c>
    </row>
    <row r="125" spans="1:29" x14ac:dyDescent="0.2">
      <c r="A125" s="185">
        <f>Economics!$I38</f>
        <v>1.96</v>
      </c>
      <c r="B125" s="189">
        <f t="shared" ref="B125:Y125" ca="1" si="46">IndGencost(B124,OFFSET(HeatRateStart,1,MATCH($A124,HeatRateNames,0)-1,250,1),$A125)</f>
        <v>33.930736660385129</v>
      </c>
      <c r="C125" s="189">
        <f t="shared" ca="1" si="46"/>
        <v>38.577599484159158</v>
      </c>
      <c r="D125" s="189">
        <f t="shared" ca="1" si="46"/>
        <v>38.577599484159158</v>
      </c>
      <c r="E125" s="189">
        <f ca="1">IndGencost(E124,OFFSET(HeatRateStart,1,MATCH($A124,HeatRateNames,0)-1,250,1),$A125)</f>
        <v>38.577599484159158</v>
      </c>
      <c r="F125" s="189">
        <f t="shared" ca="1" si="46"/>
        <v>33.930736660385129</v>
      </c>
      <c r="G125" s="189">
        <f t="shared" ca="1" si="46"/>
        <v>29.76271662478128</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3956.3402253212248</v>
      </c>
      <c r="AA125" s="318" t="s">
        <v>167</v>
      </c>
    </row>
    <row r="126" spans="1:29" x14ac:dyDescent="0.2">
      <c r="A126" s="184" t="s">
        <v>163</v>
      </c>
      <c r="B126" s="186">
        <f t="shared" ref="B126:Y126" si="47">B124</f>
        <v>20</v>
      </c>
      <c r="C126" s="186">
        <f t="shared" si="47"/>
        <v>15</v>
      </c>
      <c r="D126" s="186">
        <f t="shared" si="47"/>
        <v>15</v>
      </c>
      <c r="E126" s="186">
        <f t="shared" si="47"/>
        <v>15</v>
      </c>
      <c r="F126" s="186">
        <f t="shared" si="47"/>
        <v>20</v>
      </c>
      <c r="G126" s="186">
        <f t="shared" si="47"/>
        <v>29</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114</v>
      </c>
    </row>
    <row r="127" spans="1:29" x14ac:dyDescent="0.2">
      <c r="A127" s="182"/>
      <c r="B127" s="190">
        <f t="shared" ref="B127:Y127" ca="1" si="48">IndGencost(B126,OFFSET(HeatRateStart,1,MATCH($A124,HeatRateNames,0)-1,250,1),$A125)</f>
        <v>33.930736660385129</v>
      </c>
      <c r="C127" s="190">
        <f t="shared" ca="1" si="48"/>
        <v>38.577599484159158</v>
      </c>
      <c r="D127" s="190">
        <f t="shared" ca="1" si="48"/>
        <v>38.577599484159158</v>
      </c>
      <c r="E127" s="190">
        <f ca="1">IndGencost(E126,OFFSET(HeatRateStart,1,MATCH($A124,HeatRateNames,0)-1,250,1),$A125)</f>
        <v>38.577599484159158</v>
      </c>
      <c r="F127" s="190">
        <f t="shared" ca="1" si="48"/>
        <v>33.930736660385129</v>
      </c>
      <c r="G127" s="190">
        <f t="shared" ca="1" si="48"/>
        <v>29.76271662478128</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3956.3402253212248</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100</v>
      </c>
      <c r="I139" s="181">
        <f t="shared" si="59"/>
        <v>99</v>
      </c>
      <c r="J139" s="181">
        <f t="shared" si="59"/>
        <v>137</v>
      </c>
      <c r="K139" s="181">
        <f t="shared" si="59"/>
        <v>133</v>
      </c>
      <c r="L139" s="181">
        <f t="shared" si="59"/>
        <v>152</v>
      </c>
      <c r="M139" s="181">
        <f t="shared" si="59"/>
        <v>133</v>
      </c>
      <c r="N139" s="181">
        <f t="shared" si="59"/>
        <v>130</v>
      </c>
      <c r="O139" s="181">
        <f t="shared" si="59"/>
        <v>164</v>
      </c>
      <c r="P139" s="181">
        <f t="shared" si="59"/>
        <v>142</v>
      </c>
      <c r="Q139" s="181">
        <f t="shared" si="59"/>
        <v>146</v>
      </c>
      <c r="R139" s="181">
        <f t="shared" si="59"/>
        <v>150</v>
      </c>
      <c r="S139" s="181">
        <f t="shared" si="59"/>
        <v>130</v>
      </c>
      <c r="T139" s="181">
        <f t="shared" si="59"/>
        <v>201</v>
      </c>
      <c r="U139" s="181">
        <f t="shared" si="59"/>
        <v>203</v>
      </c>
      <c r="V139" s="181">
        <f t="shared" si="59"/>
        <v>196</v>
      </c>
      <c r="W139" s="181">
        <f t="shared" si="59"/>
        <v>197</v>
      </c>
      <c r="X139" s="181">
        <f t="shared" si="59"/>
        <v>198</v>
      </c>
      <c r="Y139" s="181">
        <f t="shared" si="59"/>
        <v>180</v>
      </c>
      <c r="Z139" s="219">
        <f>SUM(B139:Y139)</f>
        <v>2791</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21.2243798130846</v>
      </c>
      <c r="I140" s="189">
        <f t="shared" ca="1" si="60"/>
        <v>21.302612296970857</v>
      </c>
      <c r="J140" s="189">
        <f t="shared" ca="1" si="60"/>
        <v>19.279573378342828</v>
      </c>
      <c r="K140" s="189">
        <f t="shared" ca="1" si="60"/>
        <v>19.42344807055985</v>
      </c>
      <c r="L140" s="189">
        <f t="shared" ca="1" si="60"/>
        <v>18.834325458778125</v>
      </c>
      <c r="M140" s="189">
        <f t="shared" ca="1" si="60"/>
        <v>19.42344807055985</v>
      </c>
      <c r="N140" s="189">
        <f t="shared" ca="1" si="60"/>
        <v>19.539476861830234</v>
      </c>
      <c r="O140" s="189">
        <f t="shared" ca="1" si="60"/>
        <v>18.5650506904975</v>
      </c>
      <c r="P140" s="189">
        <f t="shared" ca="1" si="60"/>
        <v>19.115665028775627</v>
      </c>
      <c r="Q140" s="189">
        <f t="shared" ca="1" si="60"/>
        <v>18.996151264676072</v>
      </c>
      <c r="R140" s="189">
        <f t="shared" ca="1" si="60"/>
        <v>18.886065467574596</v>
      </c>
      <c r="S140" s="189">
        <f t="shared" ca="1" si="60"/>
        <v>19.539476861830234</v>
      </c>
      <c r="T140" s="189">
        <f t="shared" ca="1" si="60"/>
        <v>18.066310723530371</v>
      </c>
      <c r="U140" s="189">
        <f t="shared" ca="1" si="60"/>
        <v>18.050031509854808</v>
      </c>
      <c r="V140" s="189">
        <f t="shared" ca="1" si="60"/>
        <v>18.111018536490057</v>
      </c>
      <c r="W140" s="189">
        <f t="shared" ca="1" si="60"/>
        <v>18.101604756296688</v>
      </c>
      <c r="X140" s="189">
        <f t="shared" ca="1" si="60"/>
        <v>18.092430662310107</v>
      </c>
      <c r="Y140" s="189">
        <f t="shared" ca="1" si="60"/>
        <v>18.297496076119423</v>
      </c>
      <c r="Z140" s="259">
        <f t="array" aca="1" ref="Z140" ca="1">SUM(B139:Y139*B140:Y140)</f>
        <v>52634.968631138756</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-1.6849029512543652</v>
      </c>
      <c r="I143" s="188">
        <f t="shared" ca="1" si="62"/>
        <v>-1.0585768451403581</v>
      </c>
      <c r="J143" s="188">
        <f t="shared" ca="1" si="62"/>
        <v>0.96446207348767032</v>
      </c>
      <c r="K143" s="188">
        <f t="shared" ca="1" si="62"/>
        <v>0.82058738127064856</v>
      </c>
      <c r="L143" s="188">
        <f t="shared" ca="1" si="62"/>
        <v>1.409709993052374</v>
      </c>
      <c r="M143" s="188">
        <f t="shared" ca="1" si="62"/>
        <v>0.82058738127064856</v>
      </c>
      <c r="N143" s="188">
        <f t="shared" ca="1" si="62"/>
        <v>0.70455859000026422</v>
      </c>
      <c r="O143" s="188">
        <f t="shared" ca="1" si="62"/>
        <v>1.6789847613329982</v>
      </c>
      <c r="P143" s="188">
        <f t="shared" ca="1" si="62"/>
        <v>1.1283704230548715</v>
      </c>
      <c r="Q143" s="188">
        <f t="shared" ca="1" si="62"/>
        <v>1.2478841871544262</v>
      </c>
      <c r="R143" s="188">
        <f t="shared" ca="1" si="62"/>
        <v>1.3579699842559023</v>
      </c>
      <c r="S143" s="188">
        <f t="shared" ca="1" si="62"/>
        <v>0.70455859000026422</v>
      </c>
      <c r="T143" s="188">
        <f t="shared" ca="1" si="62"/>
        <v>0.16519031049379507</v>
      </c>
      <c r="U143" s="188">
        <f t="shared" ca="1" si="62"/>
        <v>0.18146952416935846</v>
      </c>
      <c r="V143" s="188">
        <f t="shared" ca="1" si="62"/>
        <v>0.34274482620016755</v>
      </c>
      <c r="W143" s="188">
        <f t="shared" ca="1" si="62"/>
        <v>0.44390219646788864</v>
      </c>
      <c r="X143" s="188">
        <f t="shared" ca="1" si="62"/>
        <v>0.93268469314319802</v>
      </c>
      <c r="Y143" s="188">
        <f t="shared" ca="1" si="62"/>
        <v>0.72761927933388293</v>
      </c>
      <c r="Z143" s="260">
        <f ca="1">Z140-Z142</f>
        <v>-9079.0948658860725</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937</v>
      </c>
      <c r="C164" s="303">
        <f t="shared" si="80"/>
        <v>844</v>
      </c>
      <c r="D164" s="303">
        <f t="shared" si="80"/>
        <v>840</v>
      </c>
      <c r="E164" s="303">
        <f t="shared" si="80"/>
        <v>825</v>
      </c>
      <c r="F164" s="303">
        <f t="shared" si="80"/>
        <v>817</v>
      </c>
      <c r="G164" s="303">
        <f t="shared" si="80"/>
        <v>874</v>
      </c>
      <c r="H164" s="303">
        <f t="shared" si="80"/>
        <v>892</v>
      </c>
      <c r="I164" s="303">
        <f t="shared" si="80"/>
        <v>908</v>
      </c>
      <c r="J164" s="303">
        <f t="shared" si="80"/>
        <v>904</v>
      </c>
      <c r="K164" s="303">
        <f t="shared" si="80"/>
        <v>901</v>
      </c>
      <c r="L164" s="303">
        <f t="shared" si="80"/>
        <v>928</v>
      </c>
      <c r="M164" s="303">
        <f t="shared" si="80"/>
        <v>809</v>
      </c>
      <c r="N164" s="303">
        <f t="shared" si="80"/>
        <v>898</v>
      </c>
      <c r="O164" s="303">
        <f t="shared" si="80"/>
        <v>855</v>
      </c>
      <c r="P164" s="303">
        <f t="shared" si="80"/>
        <v>834</v>
      </c>
      <c r="Q164" s="303">
        <f t="shared" si="80"/>
        <v>838</v>
      </c>
      <c r="R164" s="303">
        <f t="shared" si="80"/>
        <v>823</v>
      </c>
      <c r="S164" s="303">
        <f t="shared" si="80"/>
        <v>841</v>
      </c>
      <c r="T164" s="303">
        <f t="shared" si="80"/>
        <v>918</v>
      </c>
      <c r="U164" s="303">
        <f t="shared" si="80"/>
        <v>912</v>
      </c>
      <c r="V164" s="303">
        <f t="shared" si="80"/>
        <v>902</v>
      </c>
      <c r="W164" s="303">
        <f t="shared" si="80"/>
        <v>869</v>
      </c>
      <c r="X164" s="303">
        <f t="shared" si="80"/>
        <v>854</v>
      </c>
      <c r="Y164" s="304">
        <f t="shared" si="80"/>
        <v>836</v>
      </c>
      <c r="Z164" s="270"/>
      <c r="AA164" s="268"/>
    </row>
    <row r="165" spans="1:27" s="269" customFormat="1" ht="13.5" customHeight="1" thickBot="1" x14ac:dyDescent="0.25">
      <c r="A165" s="305" t="s">
        <v>183</v>
      </c>
      <c r="B165" s="306">
        <f t="shared" ref="B165:Y165" si="81">B161+B156+B151+B146+B141+B136+B131+B126+B121+B116+B111+B106+B102+B99+B96+B93+B90</f>
        <v>1020</v>
      </c>
      <c r="C165" s="306">
        <f t="shared" si="81"/>
        <v>908</v>
      </c>
      <c r="D165" s="306">
        <f t="shared" si="81"/>
        <v>879</v>
      </c>
      <c r="E165" s="306">
        <f t="shared" si="81"/>
        <v>878</v>
      </c>
      <c r="F165" s="306">
        <f t="shared" si="81"/>
        <v>899</v>
      </c>
      <c r="G165" s="306">
        <f t="shared" si="81"/>
        <v>927</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-32359.487417456199</v>
      </c>
    </row>
    <row r="166" spans="1:27" x14ac:dyDescent="0.2">
      <c r="A166" s="330" t="s">
        <v>184</v>
      </c>
      <c r="B166" s="331">
        <f t="shared" ref="B166:Y166" si="82">B165-B164</f>
        <v>83</v>
      </c>
      <c r="C166" s="331">
        <f t="shared" si="82"/>
        <v>64</v>
      </c>
      <c r="D166" s="331">
        <f t="shared" si="82"/>
        <v>39</v>
      </c>
      <c r="E166" s="331">
        <f t="shared" si="82"/>
        <v>53</v>
      </c>
      <c r="F166" s="331">
        <f t="shared" si="82"/>
        <v>82</v>
      </c>
      <c r="G166" s="331">
        <f t="shared" si="82"/>
        <v>53</v>
      </c>
      <c r="H166" s="331">
        <f t="shared" si="82"/>
        <v>2</v>
      </c>
      <c r="I166" s="331">
        <f t="shared" si="82"/>
        <v>-29</v>
      </c>
      <c r="J166" s="331">
        <f t="shared" si="82"/>
        <v>-25</v>
      </c>
      <c r="K166" s="331">
        <f t="shared" si="82"/>
        <v>-22</v>
      </c>
      <c r="L166" s="331">
        <f t="shared" si="82"/>
        <v>2</v>
      </c>
      <c r="M166" s="331">
        <f t="shared" si="82"/>
        <v>121</v>
      </c>
      <c r="N166" s="331">
        <f t="shared" si="82"/>
        <v>32</v>
      </c>
      <c r="O166" s="331">
        <f t="shared" si="82"/>
        <v>75</v>
      </c>
      <c r="P166" s="331">
        <f t="shared" si="82"/>
        <v>96</v>
      </c>
      <c r="Q166" s="331">
        <f t="shared" si="82"/>
        <v>92</v>
      </c>
      <c r="R166" s="331">
        <f t="shared" si="82"/>
        <v>107</v>
      </c>
      <c r="S166" s="331">
        <f t="shared" si="82"/>
        <v>89</v>
      </c>
      <c r="T166" s="331">
        <f t="shared" si="82"/>
        <v>111</v>
      </c>
      <c r="U166" s="331">
        <f t="shared" si="82"/>
        <v>142</v>
      </c>
      <c r="V166" s="331">
        <f t="shared" si="82"/>
        <v>66</v>
      </c>
      <c r="W166" s="331">
        <f t="shared" si="82"/>
        <v>69</v>
      </c>
      <c r="X166" s="331">
        <f t="shared" si="82"/>
        <v>55</v>
      </c>
      <c r="Y166" s="332">
        <f t="shared" si="82"/>
        <v>73</v>
      </c>
      <c r="Z166" s="336">
        <f>SUM(B166:Y166)</f>
        <v>1430</v>
      </c>
    </row>
    <row r="167" spans="1:27" s="325" customFormat="1" ht="32.25" customHeight="1" thickBot="1" x14ac:dyDescent="0.25">
      <c r="A167" s="333" t="s">
        <v>185</v>
      </c>
      <c r="B167" s="334">
        <f t="shared" ref="B167:Y167" ca="1" si="83">B58</f>
        <v>23</v>
      </c>
      <c r="C167" s="334">
        <f t="shared" ca="1" si="83"/>
        <v>-10</v>
      </c>
      <c r="D167" s="334">
        <f t="shared" ca="1" si="83"/>
        <v>-1</v>
      </c>
      <c r="E167" s="334">
        <f ca="1">E58</f>
        <v>7</v>
      </c>
      <c r="F167" s="334">
        <f t="shared" ca="1" si="83"/>
        <v>-10</v>
      </c>
      <c r="G167" s="334">
        <f t="shared" ca="1" si="83"/>
        <v>5</v>
      </c>
      <c r="H167" s="334">
        <f t="shared" ca="1" si="83"/>
        <v>-4</v>
      </c>
      <c r="I167" s="334">
        <f t="shared" ca="1" si="83"/>
        <v>1</v>
      </c>
      <c r="J167" s="334">
        <f t="shared" ca="1" si="83"/>
        <v>-2</v>
      </c>
      <c r="K167" s="334">
        <f t="shared" ca="1" si="83"/>
        <v>5</v>
      </c>
      <c r="L167" s="334">
        <f t="shared" ca="1" si="83"/>
        <v>11</v>
      </c>
      <c r="M167" s="334">
        <f t="shared" ca="1" si="83"/>
        <v>9</v>
      </c>
      <c r="N167" s="334">
        <f t="shared" ca="1" si="83"/>
        <v>-3</v>
      </c>
      <c r="O167" s="334">
        <f t="shared" ca="1" si="83"/>
        <v>-7</v>
      </c>
      <c r="P167" s="334">
        <f t="shared" ca="1" si="83"/>
        <v>20</v>
      </c>
      <c r="Q167" s="334">
        <f t="shared" ca="1" si="83"/>
        <v>21</v>
      </c>
      <c r="R167" s="334">
        <f t="shared" ca="1" si="83"/>
        <v>17</v>
      </c>
      <c r="S167" s="334">
        <f t="shared" ca="1" si="83"/>
        <v>17</v>
      </c>
      <c r="T167" s="334">
        <f t="shared" ca="1" si="83"/>
        <v>61</v>
      </c>
      <c r="U167" s="334">
        <f t="shared" ca="1" si="83"/>
        <v>47</v>
      </c>
      <c r="V167" s="334">
        <f t="shared" ca="1" si="83"/>
        <v>50</v>
      </c>
      <c r="W167" s="334">
        <f t="shared" ca="1" si="83"/>
        <v>52</v>
      </c>
      <c r="X167" s="334">
        <f t="shared" ca="1" si="83"/>
        <v>28</v>
      </c>
      <c r="Y167" s="335">
        <f t="shared" ca="1" si="83"/>
        <v>-4</v>
      </c>
      <c r="Z167" s="323">
        <f ca="1">SUM(B167:Y167)</f>
        <v>333</v>
      </c>
      <c r="AA167" s="324"/>
    </row>
    <row r="168" spans="1:27" ht="13.5" hidden="1" thickBot="1" x14ac:dyDescent="0.25">
      <c r="A168" s="326" t="s">
        <v>186</v>
      </c>
      <c r="B168" s="327">
        <f t="shared" ref="B168:Y168" ca="1" si="84">B167+B166</f>
        <v>106</v>
      </c>
      <c r="C168" s="327">
        <f t="shared" ca="1" si="84"/>
        <v>54</v>
      </c>
      <c r="D168" s="327">
        <f t="shared" ca="1" si="84"/>
        <v>38</v>
      </c>
      <c r="E168" s="327">
        <f t="shared" ca="1" si="84"/>
        <v>60</v>
      </c>
      <c r="F168" s="327">
        <f t="shared" ca="1" si="84"/>
        <v>72</v>
      </c>
      <c r="G168" s="327">
        <f t="shared" ca="1" si="84"/>
        <v>58</v>
      </c>
      <c r="H168" s="327">
        <f t="shared" ca="1" si="84"/>
        <v>-2</v>
      </c>
      <c r="I168" s="327">
        <f t="shared" ca="1" si="84"/>
        <v>-28</v>
      </c>
      <c r="J168" s="327">
        <f t="shared" ca="1" si="84"/>
        <v>-27</v>
      </c>
      <c r="K168" s="327">
        <f t="shared" ca="1" si="84"/>
        <v>-17</v>
      </c>
      <c r="L168" s="327">
        <f t="shared" ca="1" si="84"/>
        <v>13</v>
      </c>
      <c r="M168" s="327">
        <f t="shared" ca="1" si="84"/>
        <v>130</v>
      </c>
      <c r="N168" s="327">
        <f t="shared" ca="1" si="84"/>
        <v>29</v>
      </c>
      <c r="O168" s="327">
        <f t="shared" ca="1" si="84"/>
        <v>68</v>
      </c>
      <c r="P168" s="327">
        <f t="shared" ca="1" si="84"/>
        <v>116</v>
      </c>
      <c r="Q168" s="327">
        <f t="shared" ca="1" si="84"/>
        <v>113</v>
      </c>
      <c r="R168" s="327">
        <f t="shared" ca="1" si="84"/>
        <v>124</v>
      </c>
      <c r="S168" s="327">
        <f t="shared" ca="1" si="84"/>
        <v>106</v>
      </c>
      <c r="T168" s="327">
        <f t="shared" ca="1" si="84"/>
        <v>172</v>
      </c>
      <c r="U168" s="327">
        <f t="shared" ca="1" si="84"/>
        <v>189</v>
      </c>
      <c r="V168" s="327">
        <f t="shared" ca="1" si="84"/>
        <v>116</v>
      </c>
      <c r="W168" s="327">
        <f t="shared" ca="1" si="84"/>
        <v>121</v>
      </c>
      <c r="X168" s="327">
        <f t="shared" ca="1" si="84"/>
        <v>83</v>
      </c>
      <c r="Y168" s="327">
        <f t="shared" ca="1" si="84"/>
        <v>69</v>
      </c>
      <c r="Z168" s="328">
        <f ca="1">SUM(B168:Y168)</f>
        <v>1763</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1763</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124</v>
      </c>
      <c r="C171" s="338">
        <f t="shared" si="85"/>
        <v>136</v>
      </c>
      <c r="D171" s="338">
        <f t="shared" si="85"/>
        <v>141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155</v>
      </c>
      <c r="F171" s="338">
        <f t="shared" si="85"/>
        <v>174</v>
      </c>
      <c r="G171" s="338">
        <f t="shared" si="85"/>
        <v>135</v>
      </c>
      <c r="H171" s="338">
        <f t="shared" si="85"/>
        <v>158</v>
      </c>
      <c r="I171" s="338">
        <f t="shared" si="85"/>
        <v>141</v>
      </c>
      <c r="J171" s="338">
        <f t="shared" si="85"/>
        <v>171</v>
      </c>
      <c r="K171" s="338">
        <f t="shared" si="85"/>
        <v>174</v>
      </c>
      <c r="L171" s="338">
        <f t="shared" si="85"/>
        <v>147</v>
      </c>
      <c r="M171" s="338">
        <f t="shared" si="85"/>
        <v>163</v>
      </c>
      <c r="N171" s="338">
        <f t="shared" si="85"/>
        <v>177</v>
      </c>
      <c r="O171" s="338">
        <f t="shared" si="85"/>
        <v>220</v>
      </c>
      <c r="P171" s="338">
        <f t="shared" si="85"/>
        <v>241</v>
      </c>
      <c r="Q171" s="338">
        <f t="shared" si="85"/>
        <v>237</v>
      </c>
      <c r="R171" s="338">
        <f t="shared" si="85"/>
        <v>252</v>
      </c>
      <c r="S171" s="338">
        <f t="shared" si="85"/>
        <v>304</v>
      </c>
      <c r="T171" s="338">
        <f t="shared" si="85"/>
        <v>227</v>
      </c>
      <c r="U171" s="338">
        <f t="shared" si="85"/>
        <v>233</v>
      </c>
      <c r="V171" s="338">
        <f t="shared" si="85"/>
        <v>243</v>
      </c>
      <c r="W171" s="338">
        <f t="shared" si="85"/>
        <v>206</v>
      </c>
      <c r="X171" s="338">
        <f t="shared" si="85"/>
        <v>118</v>
      </c>
      <c r="Y171" s="339">
        <f t="shared" si="85"/>
        <v>136</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210</v>
      </c>
      <c r="D172" s="341">
        <f t="shared" si="86"/>
        <v>239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240</v>
      </c>
      <c r="F172" s="341">
        <f t="shared" si="86"/>
        <v>228</v>
      </c>
      <c r="G172" s="341">
        <f t="shared" si="86"/>
        <v>210</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-32359.48741745617</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26854.573899872448</v>
      </c>
      <c r="F22" s="33">
        <f>IF($I$22=1,C22*$C$8,C22*$G$7)+IF($J$22=1,D22*$C$6,D22*$G$6)</f>
        <v>1.96</v>
      </c>
      <c r="G22" s="32">
        <f t="shared" ref="G22:G29" ca="1" si="0">F22*E22</f>
        <v>52634.96484375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11577.511160714286</v>
      </c>
      <c r="F25" s="33">
        <f t="shared" si="1"/>
        <v>1.96</v>
      </c>
      <c r="G25" s="32">
        <f t="shared" ca="1" si="0"/>
        <v>22691.921875</v>
      </c>
      <c r="I25" s="31"/>
      <c r="J25" s="31"/>
      <c r="K25" s="31"/>
    </row>
    <row r="26" spans="1:12" x14ac:dyDescent="0.2">
      <c r="B26" s="234" t="s">
        <v>47</v>
      </c>
      <c r="C26" s="235">
        <v>1</v>
      </c>
      <c r="D26" s="235">
        <v>0</v>
      </c>
      <c r="E26" s="32">
        <f ca="1">-INDEX(Economics!$A$34:$D$45,MATCH(Fuel!B26,Economics!$A$34:$A$45,0),4)/Fuel!F26</f>
        <v>11255.980947066328</v>
      </c>
      <c r="F26" s="33">
        <f t="shared" si="1"/>
        <v>1.96</v>
      </c>
      <c r="G26" s="32">
        <f t="shared" ca="1" si="0"/>
        <v>22061.72265625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2059.9321637834823</v>
      </c>
      <c r="F28" s="33">
        <f t="shared" si="1"/>
        <v>1.96</v>
      </c>
      <c r="G28" s="32">
        <f t="shared" ca="1" si="0"/>
        <v>4037.4670410156255</v>
      </c>
      <c r="I28" s="31"/>
      <c r="J28" s="31"/>
      <c r="K28" s="31"/>
    </row>
    <row r="29" spans="1:12" x14ac:dyDescent="0.2">
      <c r="B29" s="234" t="s">
        <v>50</v>
      </c>
      <c r="C29" s="235">
        <v>1</v>
      </c>
      <c r="D29" s="235">
        <v>0</v>
      </c>
      <c r="E29" s="32">
        <f ca="1">-INDEX(Economics!$A$34:$D$45,MATCH(Fuel!B29,Economics!$A$34:$A$45,0),4)/Fuel!F29</f>
        <v>2018.5411102917731</v>
      </c>
      <c r="F29" s="33">
        <f t="shared" si="1"/>
        <v>1.96</v>
      </c>
      <c r="G29" s="32">
        <f t="shared" ca="1" si="0"/>
        <v>3956.340576171875</v>
      </c>
      <c r="I29" s="31"/>
      <c r="J29" s="31"/>
      <c r="K29" s="31"/>
    </row>
    <row r="30" spans="1:12" x14ac:dyDescent="0.2">
      <c r="B30" s="236"/>
      <c r="C30" s="36"/>
      <c r="D30" s="36"/>
      <c r="E30" s="34">
        <f ca="1">SUM(E22:E29)</f>
        <v>53766.539281728314</v>
      </c>
      <c r="F30" s="35"/>
      <c r="G30" s="34">
        <f ca="1">SUM(G22:G29)</f>
        <v>105382.4169921875</v>
      </c>
      <c r="I30" s="31"/>
      <c r="J30" s="31"/>
      <c r="K30" s="31"/>
    </row>
    <row r="31" spans="1:12" x14ac:dyDescent="0.2">
      <c r="B31" s="236"/>
      <c r="I31" s="31"/>
      <c r="J31" s="31"/>
      <c r="K31" s="31"/>
    </row>
    <row r="32" spans="1:12" ht="13.5" thickBot="1" x14ac:dyDescent="0.25">
      <c r="B32" s="236" t="s">
        <v>18</v>
      </c>
      <c r="E32" s="7">
        <f ca="1">E15+E18+E30</f>
        <v>53766.539281728314</v>
      </c>
      <c r="F32" s="8"/>
      <c r="G32" s="7">
        <f ca="1">G15+G18+G30</f>
        <v>105382.4169921875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526690.79999999993</v>
      </c>
      <c r="C3" s="117">
        <f ca="1">6.8*0.75*E3</f>
        <v>129764.4</v>
      </c>
      <c r="D3" s="117">
        <f ca="1">C3+B3</f>
        <v>656455.19999999995</v>
      </c>
      <c r="E3" s="118">
        <f ca="1">SUM(Preschedule!B59:Y59)</f>
        <v>25444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-736</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-780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-1945</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1081</v>
      </c>
      <c r="F17" s="121" t="e">
        <f ca="1">IF(E17=0,0,B17/E17)</f>
        <v>#N/A</v>
      </c>
      <c r="G17" s="123" t="e">
        <f ca="1">IF(E17=0,0,D17/E17)</f>
        <v>#N/A</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1853</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60</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 ca="1">Balancing!H30</f>
        <v>0</v>
      </c>
      <c r="C24" s="120"/>
      <c r="D24" s="120">
        <f t="shared" ca="1"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-15127.636160000002</v>
      </c>
      <c r="C28" s="120"/>
      <c r="D28" s="120">
        <f ca="1">C28+B28</f>
        <v>-15127.636160000002</v>
      </c>
      <c r="E28" s="114">
        <f>SUM(Preschedule!B56:Y56)</f>
        <v>1157</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-29352.240000000002</v>
      </c>
      <c r="C30" s="120"/>
      <c r="D30" s="120">
        <f>C30+B30</f>
        <v>-29352.240000000002</v>
      </c>
      <c r="E30" s="114">
        <f>SUM(Preschedule!B53:Y53)</f>
        <v>4815</v>
      </c>
      <c r="F30" s="120">
        <f>H30*I30</f>
        <v>6.0960000000000001</v>
      </c>
      <c r="G30" s="79">
        <f>-IF(E30=0,0,D30/E30)</f>
        <v>6.0960000000000001</v>
      </c>
      <c r="H30" s="134">
        <v>10.16</v>
      </c>
      <c r="I30" s="135">
        <v>0.6</v>
      </c>
    </row>
    <row r="31" spans="1:9" x14ac:dyDescent="0.2">
      <c r="A31" s="83" t="s">
        <v>44</v>
      </c>
      <c r="B31" s="120">
        <f>-F31*E31</f>
        <v>-29352.240000000002</v>
      </c>
      <c r="C31" s="120"/>
      <c r="D31" s="120">
        <f>C31+B31</f>
        <v>-29352.240000000002</v>
      </c>
      <c r="E31" s="114">
        <f>SUM(Preschedule!B54:Y54)</f>
        <v>4815</v>
      </c>
      <c r="F31" s="120">
        <f>H31*I31</f>
        <v>6.0960000000000001</v>
      </c>
      <c r="G31" s="79">
        <f>-IF(E31=0,0,D31/E31)</f>
        <v>6.0960000000000001</v>
      </c>
      <c r="H31" s="134">
        <v>10.16</v>
      </c>
      <c r="I31" s="135">
        <v>0.6</v>
      </c>
    </row>
    <row r="32" spans="1:9" x14ac:dyDescent="0.2">
      <c r="A32" s="83" t="s">
        <v>45</v>
      </c>
      <c r="B32" s="120">
        <f>-F32*E32</f>
        <v>-29346.144</v>
      </c>
      <c r="C32" s="120"/>
      <c r="D32" s="120">
        <f>C32+B32</f>
        <v>-29346.144</v>
      </c>
      <c r="E32" s="114">
        <f>SUM(Preschedule!B55:Y55)</f>
        <v>4814</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-22061.72265625</v>
      </c>
      <c r="C35" s="120"/>
      <c r="D35" s="120">
        <f t="shared" ref="D35:D45" ca="1" si="7">IF(ISTEXT(B35),0,C35+B35)</f>
        <v>-22061.72265625</v>
      </c>
      <c r="E35" s="114">
        <f>SUM(Preschedule!B42:Y42)</f>
        <v>1058</v>
      </c>
      <c r="F35" s="120">
        <f t="shared" ref="F35:F45" ca="1" si="8">-IF(OR(ISTEXT(B35),E35=0),0,B35/E35)</f>
        <v>20.852289845226842</v>
      </c>
      <c r="G35" s="79">
        <f t="shared" ca="1" si="6"/>
        <v>20.852289845226842</v>
      </c>
      <c r="H35" s="136"/>
      <c r="I35" s="135">
        <v>1.96</v>
      </c>
    </row>
    <row r="36" spans="1:9" x14ac:dyDescent="0.2">
      <c r="A36" s="83" t="s">
        <v>48</v>
      </c>
      <c r="B36" s="120">
        <f ca="1">Gencost(Preschedule!B43:Y43,OFFSET(HeatRateStart,1,MATCH(A36,HeatRateNames,0)-1,250,1),I36)</f>
        <v>-22691.921875</v>
      </c>
      <c r="C36" s="120"/>
      <c r="D36" s="120">
        <f t="shared" ca="1" si="7"/>
        <v>-22691.921875</v>
      </c>
      <c r="E36" s="114">
        <f>SUM(Preschedule!B43:Y43)</f>
        <v>1101</v>
      </c>
      <c r="F36" s="120">
        <f t="shared" ca="1" si="8"/>
        <v>20.610283265213443</v>
      </c>
      <c r="G36" s="79">
        <f t="shared" ca="1" si="6"/>
        <v>20.610283265213443</v>
      </c>
      <c r="H36" s="136"/>
      <c r="I36" s="135">
        <f>INDEX(FuelPriceTable,MATCH(A36,FuelNames,0),5)</f>
        <v>1.96</v>
      </c>
    </row>
    <row r="37" spans="1:9" x14ac:dyDescent="0.2">
      <c r="A37" s="83" t="s">
        <v>49</v>
      </c>
      <c r="B37" s="120">
        <f ca="1">Gencost(Preschedule!B44:Y44,OFFSET(HeatRateStart,1,MATCH(A37,HeatRateNames,0)-1,250,1),I37)</f>
        <v>-4037.467041015625</v>
      </c>
      <c r="C37" s="120"/>
      <c r="D37" s="120">
        <f t="shared" ca="1" si="7"/>
        <v>-4037.467041015625</v>
      </c>
      <c r="E37" s="114">
        <f>SUM(Preschedule!B44:Y44)</f>
        <v>118</v>
      </c>
      <c r="F37" s="120">
        <f t="shared" ca="1" si="8"/>
        <v>34.215822381488344</v>
      </c>
      <c r="G37" s="79">
        <f t="shared" ca="1" si="6"/>
        <v>34.215822381488344</v>
      </c>
      <c r="H37" s="136"/>
      <c r="I37" s="135">
        <f t="shared" ref="I37:I45" si="9">INDEX(FuelPriceTable,MATCH(A37,FuelNames,0),5)</f>
        <v>1.96</v>
      </c>
    </row>
    <row r="38" spans="1:9" x14ac:dyDescent="0.2">
      <c r="A38" s="83" t="s">
        <v>50</v>
      </c>
      <c r="B38" s="120">
        <f ca="1">Gencost(Preschedule!B45:Y45,OFFSET(HeatRateStart,1,MATCH(A38,HeatRateNames,0)-1,250,1),I38)</f>
        <v>-3956.340576171875</v>
      </c>
      <c r="C38" s="120"/>
      <c r="D38" s="120">
        <f t="shared" ca="1" si="7"/>
        <v>-3956.340576171875</v>
      </c>
      <c r="E38" s="114">
        <f>SUM(Preschedule!B45:Y45)</f>
        <v>114</v>
      </c>
      <c r="F38" s="120">
        <f t="shared" ca="1" si="8"/>
        <v>34.704741896244521</v>
      </c>
      <c r="G38" s="79">
        <f t="shared" ca="1" si="6"/>
        <v>34.704741896244521</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-52634.96484375</v>
      </c>
      <c r="C41" s="120"/>
      <c r="D41" s="120">
        <f t="shared" ca="1" si="7"/>
        <v>-52634.96484375</v>
      </c>
      <c r="E41" s="114">
        <f>SUM(Preschedule!B48:Y48)</f>
        <v>2791</v>
      </c>
      <c r="F41" s="120">
        <f t="shared" ca="1" si="8"/>
        <v>18.858819363579361</v>
      </c>
      <c r="G41" s="79">
        <f t="shared" ca="1" si="6"/>
        <v>18.858819363579361</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6"/>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737" t="s">
        <v>375</v>
      </c>
      <c r="B2" t="s">
        <v>46</v>
      </c>
      <c r="C2" t="s">
        <v>47</v>
      </c>
      <c r="D2" t="s">
        <v>48</v>
      </c>
      <c r="E2" t="s">
        <v>49</v>
      </c>
      <c r="F2" t="s">
        <v>50</v>
      </c>
      <c r="G2" t="s">
        <v>51</v>
      </c>
      <c r="H2" t="s">
        <v>52</v>
      </c>
      <c r="I2" t="s">
        <v>53</v>
      </c>
      <c r="J2" t="s">
        <v>54</v>
      </c>
      <c r="K2" t="s">
        <v>55</v>
      </c>
      <c r="L2" t="s">
        <v>56</v>
      </c>
      <c r="M2" t="s">
        <v>57</v>
      </c>
    </row>
    <row r="3" spans="1:13" x14ac:dyDescent="0.2">
      <c r="A3" s="737" t="s">
        <v>376</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4">
        <v>37356.881944444445</v>
      </c>
    </row>
    <row r="32" spans="2:2" x14ac:dyDescent="0.2">
      <c r="B32" t="s">
        <v>370</v>
      </c>
    </row>
    <row r="33" spans="2:2" x14ac:dyDescent="0.2">
      <c r="B33" t="s">
        <v>383</v>
      </c>
    </row>
    <row r="34" spans="2:2" x14ac:dyDescent="0.2">
      <c r="B34" t="s">
        <v>384</v>
      </c>
    </row>
    <row r="35" spans="2:2" x14ac:dyDescent="0.2">
      <c r="B35" t="s">
        <v>372</v>
      </c>
    </row>
    <row r="36" spans="2:2" x14ac:dyDescent="0.2">
      <c r="B36" t="s">
        <v>373</v>
      </c>
    </row>
    <row r="37" spans="2:2" x14ac:dyDescent="0.2">
      <c r="B37" t="s">
        <v>350</v>
      </c>
    </row>
    <row r="38" spans="2:2" x14ac:dyDescent="0.2">
      <c r="B38" t="s">
        <v>353</v>
      </c>
    </row>
    <row r="39" spans="2:2" x14ac:dyDescent="0.2">
      <c r="B39" t="s">
        <v>385</v>
      </c>
    </row>
    <row r="40" spans="2:2" x14ac:dyDescent="0.2">
      <c r="B40" t="s">
        <v>386</v>
      </c>
    </row>
    <row r="41" spans="2:2" x14ac:dyDescent="0.2">
      <c r="B41" t="s">
        <v>354</v>
      </c>
    </row>
    <row r="42" spans="2:2" x14ac:dyDescent="0.2">
      <c r="B42" t="s">
        <v>356</v>
      </c>
    </row>
    <row r="43" spans="2:2" x14ac:dyDescent="0.2">
      <c r="B43" t="s">
        <v>355</v>
      </c>
    </row>
    <row r="44" spans="2:2" x14ac:dyDescent="0.2">
      <c r="B44" t="s">
        <v>378</v>
      </c>
    </row>
    <row r="45" spans="2:2" x14ac:dyDescent="0.2">
      <c r="B45" t="s">
        <v>357</v>
      </c>
    </row>
    <row r="46" spans="2:2" x14ac:dyDescent="0.2">
      <c r="B46" t="s">
        <v>381</v>
      </c>
    </row>
    <row r="47" spans="2:2" x14ac:dyDescent="0.2">
      <c r="B47" t="s">
        <v>382</v>
      </c>
    </row>
    <row r="48" spans="2:2" x14ac:dyDescent="0.2">
      <c r="B48" t="s">
        <v>387</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2002-01-03T16:25:16Z</cp:lastPrinted>
  <dcterms:created xsi:type="dcterms:W3CDTF">1998-02-07T06:53:21Z</dcterms:created>
  <dcterms:modified xsi:type="dcterms:W3CDTF">2023-09-09T21:33:51Z</dcterms:modified>
</cp:coreProperties>
</file>