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A99E4BF-9B4C-4C1E-BD2E-A8B0DA441F10}"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80" i="6"/>
  <c r="AE80" i="6"/>
  <c r="AF80" i="6"/>
  <c r="AD85" i="6"/>
  <c r="AE85" i="6"/>
  <c r="AF85" i="6"/>
  <c r="AD86" i="6"/>
  <c r="AE86" i="6"/>
  <c r="AF86" i="6"/>
  <c r="AD87" i="6"/>
  <c r="AE87" i="6"/>
  <c r="AF87" i="6"/>
  <c r="AD89" i="6"/>
  <c r="AE89" i="6"/>
  <c r="AF89" i="6"/>
  <c r="AD90" i="6"/>
  <c r="AE90" i="6"/>
  <c r="AF90" i="6"/>
  <c r="AD92" i="6"/>
  <c r="AE92" i="6"/>
  <c r="AF92"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AC80" authorId="2" shapeId="0">
      <text>
        <r>
          <rPr>
            <b/>
            <sz val="8"/>
            <color indexed="81"/>
            <rFont val="Tahoma"/>
          </rPr>
          <t>m guzman:</t>
        </r>
        <r>
          <rPr>
            <sz val="8"/>
            <color indexed="81"/>
            <rFont val="Tahoma"/>
          </rPr>
          <t xml:space="preserve">
Steamer had not been on long enough to shut down.  Had to sell  </t>
        </r>
      </text>
    </comment>
  </commentList>
</comments>
</file>

<file path=xl/comments2.xml><?xml version="1.0" encoding="utf-8"?>
<comments xmlns="http://schemas.openxmlformats.org/spreadsheetml/2006/main">
  <authors>
    <author>m guzman</author>
    <author>A satisfied Microsoft Office user</author>
  </authors>
  <commentList>
    <comment ref="U58" authorId="0" shapeId="0">
      <text>
        <r>
          <rPr>
            <b/>
            <sz val="8"/>
            <color indexed="81"/>
            <rFont val="Tahoma"/>
          </rPr>
          <t>m guzman:</t>
        </r>
        <r>
          <rPr>
            <sz val="8"/>
            <color indexed="81"/>
            <rFont val="Tahoma"/>
          </rPr>
          <t xml:space="preserve">
spinning reserve puchse
</t>
        </r>
      </text>
    </comment>
    <comment ref="V58" authorId="0" shapeId="0">
      <text>
        <r>
          <rPr>
            <b/>
            <sz val="8"/>
            <color indexed="81"/>
            <rFont val="Tahoma"/>
          </rPr>
          <t>m guzman:</t>
        </r>
        <r>
          <rPr>
            <sz val="8"/>
            <color indexed="81"/>
            <rFont val="Tahoma"/>
          </rPr>
          <t xml:space="preserve">
spinning reserve puchse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<sst xmlns="http://schemas.openxmlformats.org/spreadsheetml/2006/main" count="748" uniqueCount="386">
  <si>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</si>
  <si>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</si>
  <si>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</si>
  <si>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</si>
  <si>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</si>
  <si>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</si>
  <si>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</si>
  <si>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</si>
  <si>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</si>
  <si>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</si>
  <si>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</si>
  <si>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</si>
  <si>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</si>
  <si>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</si>
  <si>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</si>
  <si>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</si>
  <si>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</si>
  <si>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</si>
  <si>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</si>
  <si>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</si>
  <si>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</si>
  <si>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</si>
  <si>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</si>
  <si>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</si>
  <si>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</si>
  <si>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</si>
  <si>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</si>
  <si>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</si>
  <si>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</si>
  <si>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</si>
  <si>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</si>
  <si>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</si>
  <si>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</si>
  <si>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</si>
  <si>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</si>
  <si>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</si>
  <si>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</si>
  <si>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</si>
  <si>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</si>
  <si>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</si>
  <si>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</si>
  <si>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</si>
  <si>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</si>
  <si>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</si>
  <si>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</si>
  <si>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</si>
  <si>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</si>
  <si>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</si>
  <si>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</si>
  <si>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</si>
  <si>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</si>
  <si>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</si>
  <si>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</si>
  <si>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</si>
  <si>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</si>
  <si>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</si>
  <si>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</si>
  <si>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</si>
  <si>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</si>
  <si>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</si>
  <si>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</si>
  <si>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</si>
  <si>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</si>
  <si>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</si>
  <si>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</si>
  <si>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</si>
  <si>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</si>
  <si>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</si>
  <si>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</si>
  <si>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</si>
  <si>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</si>
  <si>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</si>
  <si>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</si>
  <si>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</si>
  <si>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</si>
  <si>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</si>
  <si>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</si>
  <si>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</si>
  <si>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</si>
  <si>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</si>
  <si>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</si>
  <si>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</si>
  <si>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</si>
  <si>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</si>
  <si>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</si>
  <si>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</si>
  <si>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</si>
  <si>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</si>
  <si>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</si>
  <si>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</si>
  <si>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</si>
  <si>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</si>
  <si>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</si>
  <si>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</si>
  <si>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</si>
  <si>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</si>
  <si>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</si>
  <si>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</si>
  <si>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</si>
  <si>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</si>
  <si>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</si>
  <si>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</si>
  <si>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</si>
  <si>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</si>
  <si>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</si>
  <si>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</si>
  <si>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</si>
  <si>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</si>
  <si>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</si>
  <si>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</si>
  <si>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</si>
  <si>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</si>
  <si>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</si>
  <si>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</si>
  <si>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</si>
  <si>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</si>
  <si>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</si>
  <si>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</si>
  <si>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</si>
  <si>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</si>
  <si>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</si>
  <si>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</si>
  <si>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</si>
  <si>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</si>
  <si>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</si>
  <si>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</si>
  <si>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</si>
  <si>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</si>
  <si>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</si>
  <si>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</si>
  <si>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</si>
  <si>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</si>
  <si>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</si>
  <si>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</si>
  <si>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</si>
  <si>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</si>
  <si>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</si>
  <si>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</si>
  <si>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</si>
  <si>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</si>
  <si>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</si>
  <si>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</si>
  <si>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</si>
  <si>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</si>
  <si>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</si>
  <si>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</si>
  <si>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</si>
  <si>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</si>
  <si>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</si>
  <si>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</si>
  <si>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</si>
  <si>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</si>
  <si>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</si>
  <si>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</si>
  <si>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</si>
  <si>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</si>
  <si>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</si>
  <si>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</si>
  <si>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</si>
  <si>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</si>
  <si>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</si>
  <si>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</si>
  <si>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</si>
  <si>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</si>
  <si>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</si>
  <si>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</si>
  <si>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</si>
  <si>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</si>
  <si>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</si>
  <si>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</si>
  <si>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</si>
  <si>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</si>
  <si>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</si>
  <si>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</si>
  <si>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</si>
  <si>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</si>
  <si>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</si>
  <si>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</si>
  <si>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</si>
  <si>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</si>
  <si>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</si>
  <si>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</si>
  <si>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</si>
  <si>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</si>
  <si>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</si>
  <si>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</si>
  <si>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</si>
  <si>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</si>
  <si>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</si>
  <si>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</si>
  <si>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</si>
  <si>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</si>
  <si>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</si>
  <si>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</si>
  <si>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</si>
  <si>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</si>
  <si>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</si>
  <si>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</si>
  <si>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</si>
  <si>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</si>
  <si>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</si>
  <si>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</si>
  <si>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</si>
  <si>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</si>
  <si>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</si>
  <si>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</si>
  <si>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</si>
  <si>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</si>
  <si>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</si>
  <si>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</si>
  <si>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</si>
  <si>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</si>
  <si>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</si>
  <si>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</si>
  <si>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</si>
  <si>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</si>
  <si>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</si>
  <si>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</si>
  <si>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</si>
  <si>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</si>
  <si>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</si>
  <si>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</si>
  <si>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</si>
  <si>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</si>
  <si>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</si>
  <si>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</si>
  <si>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</si>
  <si>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</si>
  <si>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</si>
  <si>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</si>
  <si>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</si>
  <si>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</si>
  <si>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</si>
  <si>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</si>
  <si>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</si>
  <si>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</si>
  <si>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</si>
  <si>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</si>
  <si>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</si>
  <si>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</si>
  <si>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</si>
  <si>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</si>
  <si>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</si>
  <si>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</si>
  <si>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</si>
  <si>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</si>
  <si>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</si>
  <si>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</si>
  <si>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</si>
  <si>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</si>
  <si>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</si>
  <si>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</si>
  <si>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</si>
  <si>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</si>
  <si>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</si>
  <si>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</si>
  <si>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</si>
  <si>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</si>
  <si>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</si>
  <si>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</si>
  <si>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</si>
  <si>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</si>
  <si>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</si>
  <si>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</si>
  <si>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</si>
  <si>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</si>
  <si>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</si>
  <si>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</si>
  <si>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</si>
  <si>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</si>
  <si>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</si>
  <si>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</si>
  <si>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</si>
  <si>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</si>
  <si>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</si>
  <si>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</si>
  <si>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</si>
  <si>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</si>
  <si>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</si>
  <si>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</si>
  <si>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</si>
  <si>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</si>
  <si>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</si>
  <si>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</si>
  <si>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</si>
  <si>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</si>
  <si>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</si>
  <si>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</si>
  <si>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</si>
  <si>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</si>
  <si>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</si>
  <si>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</si>
  <si>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</si>
  <si>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</si>
  <si>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</si>
  <si>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</si>
  <si>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</si>
  <si>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</si>
  <si>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</si>
  <si>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</si>
  <si>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</si>
  <si>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</si>
  <si>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</si>
  <si>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</si>
  <si>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</si>
  <si>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</si>
  <si>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</si>
  <si>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</si>
  <si>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</si>
  <si>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</si>
  <si>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</si>
  <si>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</si>
  <si>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</si>
  <si>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</si>
  <si>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</si>
  <si>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</si>
  <si>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</si>
  <si>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</si>
  <si>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</si>
  <si>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</si>
  <si>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</si>
  <si>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</si>
  <si>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</si>
  <si>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</si>
  <si>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</si>
  <si>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</si>
  <si>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</si>
  <si>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</si>
  <si>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</si>
  <si>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</si>
  <si>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</si>
  <si>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</si>
  <si>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</si>
  <si>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</si>
  <si>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</si>
  <si>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</si>
  <si>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</si>
  <si>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</si>
  <si>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</si>
  <si>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</si>
  <si>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</si>
  <si>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</si>
  <si>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</si>
  <si>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</si>
  <si>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</si>
  <si>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</si>
  <si>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</si>
  <si>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</si>
  <si>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</si>
  <si>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</si>
  <si>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</si>
  <si>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</si>
  <si>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</si>
  <si>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</si>
  <si>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</si>
  <si>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</si>
  <si>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</si>
  <si>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</si>
  <si>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</si>
  <si>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</si>
  <si>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</si>
  <si>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</si>
  <si>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</si>
  <si>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</si>
  <si>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</si>
  <si>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</si>
  <si>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</si>
  <si>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</si>
  <si>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</si>
  <si>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</si>
  <si>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</si>
  <si>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</si>
  <si>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</si>
  <si>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RIOGRAN 7,AVAL,  0  , 38  , 32  , 49  ,  0  ,1</t>
  </si>
  <si>
    <t>Firm</t>
  </si>
  <si>
    <t>NEWMN/GT1,UNAV,  0  , 60  , 18  , 60  ,  0  ,1</t>
  </si>
  <si>
    <t>NEWMN/GT2,UNAV,  0  , 60  , 18  , 60  ,  0  ,1</t>
  </si>
  <si>
    <t>FOURCRNRS,MANL, 95  , 95  , 95  ,104  ,  0  ,1</t>
  </si>
  <si>
    <t>PALOVERDE,MANL,607  ,599  ,599  ,600  ,  0  ,1</t>
  </si>
  <si>
    <t>NEWMAN 2 ,ECON, 36  , 77  , 34  , 83  , 41  ,1</t>
  </si>
  <si>
    <t>NEWMAN 3 ,ECON, 36  ,100  , 35  ,103  , 40  ,1</t>
  </si>
  <si>
    <t>NEWMAN 4 ,MANL,106  ,215  , 86  ,214  ,  0  ,1</t>
  </si>
  <si>
    <t xml:space="preserve">NEWMAN   ,, 178 ,  392,  155, 400 ,  81 , </t>
  </si>
  <si>
    <t>RIOGRAN 6,MANL, 25  , 47  , 29  , 48  ,  0  ,1</t>
  </si>
  <si>
    <t xml:space="preserve">RIOGRANDE,,  25 ,   47,   29,  48 ,   0 , </t>
  </si>
  <si>
    <t>LAMBDA, 29.33,  672,  671,  196,    7,    0,12881,75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</si>
</sst>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44" fontId="51" fillId="13" borderId="60" xfId="2"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0423307-9BEB-F26E-1703-F0AF9FA4CEE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1C85CCC-072F-1E15-E0DE-B26563A7FC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EEF4602E-48E5-B532-9E6D-911DD83E161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96</xdr:row>
      <xdr:rowOff>66675</xdr:rowOff>
    </xdr:from>
    <xdr:to>
      <xdr:col>23</xdr:col>
      <xdr:colOff>114300</xdr:colOff>
      <xdr:row>111</xdr:row>
      <xdr:rowOff>19050</xdr:rowOff>
    </xdr:to>
    <xdr:sp macro="" textlink="">
      <xdr:nvSpPr>
        <xdr:cNvPr id="2303" name="Text Box 255">
          <a:extLst>
            <a:ext uri="{FF2B5EF4-FFF2-40B4-BE49-F238E27FC236}">
              <a16:creationId xmlns:a16="http://schemas.microsoft.com/office/drawing/2014/main" id="{1EEEDF8C-19E6-C092-C34F-DCB492F69AC1}"/>
            </a:ext>
          </a:extLst>
        </xdr:cNvPr>
        <xdr:cNvSpPr txBox="1">
          <a:spLocks noChangeArrowheads="1"/>
        </xdr:cNvSpPr>
      </xdr:nvSpPr>
      <xdr:spPr bwMode="auto">
        <a:xfrm>
          <a:off x="5372100" y="7905750"/>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CB46292-65C8-6813-AA86-41FD0C2C5FC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621DFF96-A105-6C5A-9E0A-9AA463A829E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1DCAFF2-D89C-C069-A3F4-85181A4ABAD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45A8F67-2BF0-5C9D-C9B6-6D6030C18C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V93" sqref="V9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6">
        <v>55</v>
      </c>
      <c r="G3" s="706">
        <v>40</v>
      </c>
      <c r="H3" s="706">
        <v>40</v>
      </c>
      <c r="I3" s="706">
        <v>40</v>
      </c>
      <c r="J3" s="706">
        <v>40</v>
      </c>
      <c r="K3" s="706">
        <v>40</v>
      </c>
      <c r="L3" s="706">
        <v>55</v>
      </c>
      <c r="M3" s="706">
        <v>65</v>
      </c>
      <c r="N3" s="706">
        <v>65</v>
      </c>
      <c r="O3" s="706">
        <v>65</v>
      </c>
      <c r="P3" s="706">
        <v>65</v>
      </c>
      <c r="Q3" s="706">
        <v>65</v>
      </c>
      <c r="R3" s="706">
        <v>65</v>
      </c>
      <c r="S3" s="706">
        <v>65</v>
      </c>
      <c r="T3" s="706">
        <v>65</v>
      </c>
      <c r="U3" s="706">
        <v>65</v>
      </c>
      <c r="V3" s="706">
        <v>65</v>
      </c>
      <c r="W3" s="706">
        <v>65</v>
      </c>
      <c r="X3" s="706">
        <v>110</v>
      </c>
      <c r="Y3" s="706">
        <v>110</v>
      </c>
      <c r="Z3" s="706">
        <v>110</v>
      </c>
      <c r="AA3" s="706">
        <v>110</v>
      </c>
      <c r="AB3" s="706">
        <v>110</v>
      </c>
      <c r="AC3" s="706">
        <v>80</v>
      </c>
      <c r="AD3" s="640">
        <f>SUM(F3:AC3)</f>
        <v>1655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2"/>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3"/>
      <c r="C9" s="703" t="s">
        <v>151</v>
      </c>
      <c r="D9" s="658"/>
      <c r="E9" s="682"/>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8">
        <f t="shared" ref="AE9:AE14" si="2">AD9*D9</f>
        <v>0</v>
      </c>
      <c r="AF9" s="689" t="str">
        <f t="shared" ref="AF9:AF14" si="3">IF(AD9&lt;0,"buy","sell")</f>
        <v>sell</v>
      </c>
    </row>
    <row r="10" spans="1:75" s="404" customFormat="1" x14ac:dyDescent="0.2">
      <c r="A10" s="650" t="s">
        <v>364</v>
      </c>
      <c r="B10" s="703"/>
      <c r="C10" s="703" t="s">
        <v>151</v>
      </c>
      <c r="D10" s="658"/>
      <c r="E10" s="682"/>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8">
        <f t="shared" si="2"/>
        <v>0</v>
      </c>
      <c r="AF10" s="689" t="str">
        <f t="shared" si="3"/>
        <v>sell</v>
      </c>
    </row>
    <row r="11" spans="1:75" s="404" customFormat="1" x14ac:dyDescent="0.2">
      <c r="A11" s="650" t="s">
        <v>364</v>
      </c>
      <c r="B11" s="703"/>
      <c r="C11" s="703" t="s">
        <v>151</v>
      </c>
      <c r="D11" s="658"/>
      <c r="E11" s="682"/>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8">
        <f t="shared" si="2"/>
        <v>0</v>
      </c>
      <c r="AF11" s="689" t="str">
        <f t="shared" si="3"/>
        <v>sell</v>
      </c>
    </row>
    <row r="12" spans="1:75" s="404" customFormat="1" x14ac:dyDescent="0.2">
      <c r="A12" s="650" t="s">
        <v>364</v>
      </c>
      <c r="B12" s="703"/>
      <c r="C12" s="703" t="s">
        <v>151</v>
      </c>
      <c r="D12" s="658"/>
      <c r="E12" s="682"/>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8">
        <f t="shared" si="2"/>
        <v>0</v>
      </c>
      <c r="AF12" s="689" t="str">
        <f t="shared" si="3"/>
        <v>sell</v>
      </c>
    </row>
    <row r="13" spans="1:75" s="404" customFormat="1" x14ac:dyDescent="0.2">
      <c r="A13" s="650" t="s">
        <v>228</v>
      </c>
      <c r="B13" s="703"/>
      <c r="C13" s="703" t="s">
        <v>151</v>
      </c>
      <c r="D13" s="658"/>
      <c r="E13" s="682"/>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8">
        <f t="shared" si="2"/>
        <v>0</v>
      </c>
      <c r="AF13" s="689" t="str">
        <f t="shared" si="3"/>
        <v>sell</v>
      </c>
    </row>
    <row r="14" spans="1:75" s="404" customFormat="1" x14ac:dyDescent="0.2">
      <c r="A14" s="650" t="s">
        <v>366</v>
      </c>
      <c r="B14" s="703"/>
      <c r="C14" s="703" t="s">
        <v>151</v>
      </c>
      <c r="D14" s="658"/>
      <c r="E14" s="682"/>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8">
        <f t="shared" si="2"/>
        <v>0</v>
      </c>
      <c r="AF14" s="689" t="str">
        <f t="shared" si="3"/>
        <v>sell</v>
      </c>
    </row>
    <row r="15" spans="1:75" s="404" customFormat="1" x14ac:dyDescent="0.2">
      <c r="A15" s="650" t="s">
        <v>67</v>
      </c>
      <c r="B15" s="658"/>
      <c r="C15" s="703" t="s">
        <v>151</v>
      </c>
      <c r="D15" s="658"/>
      <c r="E15" s="682"/>
      <c r="F15" s="636"/>
      <c r="G15" s="636">
        <v>25</v>
      </c>
      <c r="H15" s="636">
        <v>25</v>
      </c>
      <c r="I15" s="636">
        <v>25</v>
      </c>
      <c r="J15" s="636">
        <v>25</v>
      </c>
      <c r="K15" s="636">
        <v>25</v>
      </c>
      <c r="L15" s="636">
        <v>25</v>
      </c>
      <c r="M15" s="636">
        <v>25</v>
      </c>
      <c r="N15" s="636">
        <v>25</v>
      </c>
      <c r="O15" s="636">
        <v>25</v>
      </c>
      <c r="P15" s="636">
        <v>25</v>
      </c>
      <c r="Q15" s="636">
        <v>25</v>
      </c>
      <c r="R15" s="636">
        <v>25</v>
      </c>
      <c r="S15" s="636">
        <v>25</v>
      </c>
      <c r="T15" s="636">
        <v>25</v>
      </c>
      <c r="U15" s="636">
        <v>25</v>
      </c>
      <c r="V15" s="636">
        <v>25</v>
      </c>
      <c r="W15" s="636">
        <v>25</v>
      </c>
      <c r="X15" s="636">
        <v>25</v>
      </c>
      <c r="Y15" s="636">
        <v>25</v>
      </c>
      <c r="Z15" s="636">
        <v>25</v>
      </c>
      <c r="AA15" s="636">
        <v>25</v>
      </c>
      <c r="AB15" s="636">
        <v>25</v>
      </c>
      <c r="AC15" s="636">
        <v>25</v>
      </c>
      <c r="AD15" s="593">
        <f t="shared" si="0"/>
        <v>575</v>
      </c>
      <c r="AE15" s="688"/>
      <c r="AF15" s="689"/>
    </row>
    <row r="16" spans="1:75" s="404" customFormat="1" x14ac:dyDescent="0.2">
      <c r="A16" s="650" t="s">
        <v>364</v>
      </c>
      <c r="B16" s="658"/>
      <c r="C16" s="703" t="s">
        <v>151</v>
      </c>
      <c r="D16" s="658"/>
      <c r="E16" s="682"/>
      <c r="F16" s="636"/>
      <c r="G16" s="636">
        <v>25</v>
      </c>
      <c r="H16" s="636">
        <v>25</v>
      </c>
      <c r="I16" s="636">
        <v>25</v>
      </c>
      <c r="J16" s="636">
        <v>25</v>
      </c>
      <c r="K16" s="636">
        <v>25</v>
      </c>
      <c r="L16" s="636">
        <v>25</v>
      </c>
      <c r="M16" s="636">
        <v>25</v>
      </c>
      <c r="N16" s="636">
        <v>25</v>
      </c>
      <c r="O16" s="636">
        <v>25</v>
      </c>
      <c r="P16" s="636">
        <v>25</v>
      </c>
      <c r="Q16" s="636">
        <v>25</v>
      </c>
      <c r="R16" s="636">
        <v>25</v>
      </c>
      <c r="S16" s="636">
        <v>25</v>
      </c>
      <c r="T16" s="636">
        <v>25</v>
      </c>
      <c r="U16" s="636">
        <v>25</v>
      </c>
      <c r="V16" s="636">
        <v>25</v>
      </c>
      <c r="W16" s="636">
        <v>25</v>
      </c>
      <c r="X16" s="636">
        <v>25</v>
      </c>
      <c r="Y16" s="636">
        <v>25</v>
      </c>
      <c r="Z16" s="636">
        <v>25</v>
      </c>
      <c r="AA16" s="636">
        <v>25</v>
      </c>
      <c r="AB16" s="636">
        <v>25</v>
      </c>
      <c r="AC16" s="636">
        <v>25</v>
      </c>
      <c r="AD16" s="593">
        <f t="shared" si="0"/>
        <v>575</v>
      </c>
      <c r="AE16" s="688"/>
      <c r="AF16" s="689"/>
    </row>
    <row r="17" spans="1:32" s="404" customFormat="1" x14ac:dyDescent="0.2">
      <c r="A17" s="650" t="s">
        <v>364</v>
      </c>
      <c r="B17" s="658"/>
      <c r="C17" s="703" t="s">
        <v>151</v>
      </c>
      <c r="D17" s="658"/>
      <c r="E17" s="682"/>
      <c r="F17" s="636"/>
      <c r="G17" s="636">
        <v>3</v>
      </c>
      <c r="H17" s="636">
        <v>3</v>
      </c>
      <c r="I17" s="636">
        <v>3</v>
      </c>
      <c r="J17" s="636">
        <v>3</v>
      </c>
      <c r="K17" s="636">
        <v>3</v>
      </c>
      <c r="L17" s="636">
        <v>3</v>
      </c>
      <c r="M17" s="636">
        <v>3</v>
      </c>
      <c r="N17" s="636">
        <v>3</v>
      </c>
      <c r="O17" s="636">
        <v>3</v>
      </c>
      <c r="P17" s="636">
        <v>3</v>
      </c>
      <c r="Q17" s="636">
        <v>3</v>
      </c>
      <c r="R17" s="636">
        <v>3</v>
      </c>
      <c r="S17" s="636">
        <v>3</v>
      </c>
      <c r="T17" s="636">
        <v>3</v>
      </c>
      <c r="U17" s="636">
        <v>3</v>
      </c>
      <c r="V17" s="636">
        <v>3</v>
      </c>
      <c r="W17" s="636">
        <v>3</v>
      </c>
      <c r="X17" s="636">
        <v>3</v>
      </c>
      <c r="Y17" s="636">
        <v>3</v>
      </c>
      <c r="Z17" s="636">
        <v>3</v>
      </c>
      <c r="AA17" s="636">
        <v>3</v>
      </c>
      <c r="AB17" s="636">
        <v>3</v>
      </c>
      <c r="AC17" s="636">
        <v>3</v>
      </c>
      <c r="AD17" s="593">
        <f t="shared" si="0"/>
        <v>69</v>
      </c>
      <c r="AE17" s="688"/>
      <c r="AF17" s="689"/>
    </row>
    <row r="18" spans="1:32" s="404" customFormat="1" x14ac:dyDescent="0.2">
      <c r="A18" s="650" t="s">
        <v>364</v>
      </c>
      <c r="B18" s="658"/>
      <c r="C18" s="703" t="s">
        <v>151</v>
      </c>
      <c r="D18" s="658"/>
      <c r="E18" s="682"/>
      <c r="F18" s="636"/>
      <c r="G18" s="636">
        <v>25</v>
      </c>
      <c r="H18" s="636">
        <v>25</v>
      </c>
      <c r="I18" s="636">
        <v>25</v>
      </c>
      <c r="J18" s="636">
        <v>25</v>
      </c>
      <c r="K18" s="636">
        <v>25</v>
      </c>
      <c r="L18" s="636">
        <v>25</v>
      </c>
      <c r="M18" s="636">
        <v>25</v>
      </c>
      <c r="N18" s="636">
        <v>25</v>
      </c>
      <c r="O18" s="636">
        <v>25</v>
      </c>
      <c r="P18" s="636">
        <v>25</v>
      </c>
      <c r="Q18" s="636">
        <v>25</v>
      </c>
      <c r="R18" s="636">
        <v>25</v>
      </c>
      <c r="S18" s="636">
        <v>25</v>
      </c>
      <c r="T18" s="636">
        <v>25</v>
      </c>
      <c r="U18" s="636">
        <v>25</v>
      </c>
      <c r="V18" s="636">
        <v>25</v>
      </c>
      <c r="W18" s="636">
        <v>25</v>
      </c>
      <c r="X18" s="636">
        <v>25</v>
      </c>
      <c r="Y18" s="636">
        <v>25</v>
      </c>
      <c r="Z18" s="636">
        <v>25</v>
      </c>
      <c r="AA18" s="636">
        <v>25</v>
      </c>
      <c r="AB18" s="636">
        <v>25</v>
      </c>
      <c r="AC18" s="636">
        <v>25</v>
      </c>
      <c r="AD18" s="593">
        <f t="shared" si="0"/>
        <v>575</v>
      </c>
      <c r="AE18" s="688"/>
      <c r="AF18" s="689"/>
    </row>
    <row r="19" spans="1:32" s="404" customFormat="1" x14ac:dyDescent="0.2">
      <c r="A19" s="650" t="s">
        <v>67</v>
      </c>
      <c r="B19" s="658"/>
      <c r="C19" s="703" t="s">
        <v>151</v>
      </c>
      <c r="D19" s="658"/>
      <c r="E19" s="682"/>
      <c r="F19" s="636"/>
      <c r="G19" s="636">
        <v>25</v>
      </c>
      <c r="H19" s="636">
        <v>25</v>
      </c>
      <c r="I19" s="636">
        <v>25</v>
      </c>
      <c r="J19" s="636">
        <v>25</v>
      </c>
      <c r="K19" s="636">
        <v>25</v>
      </c>
      <c r="L19" s="636">
        <v>25</v>
      </c>
      <c r="M19" s="636">
        <v>25</v>
      </c>
      <c r="N19" s="636">
        <v>25</v>
      </c>
      <c r="O19" s="636">
        <v>25</v>
      </c>
      <c r="P19" s="636">
        <v>25</v>
      </c>
      <c r="Q19" s="636">
        <v>25</v>
      </c>
      <c r="R19" s="636">
        <v>25</v>
      </c>
      <c r="S19" s="636">
        <v>25</v>
      </c>
      <c r="T19" s="636">
        <v>25</v>
      </c>
      <c r="U19" s="636">
        <v>25</v>
      </c>
      <c r="V19" s="636">
        <v>25</v>
      </c>
      <c r="W19" s="636">
        <v>25</v>
      </c>
      <c r="X19" s="636">
        <v>25</v>
      </c>
      <c r="Y19" s="636">
        <v>25</v>
      </c>
      <c r="Z19" s="636">
        <v>25</v>
      </c>
      <c r="AA19" s="636">
        <v>25</v>
      </c>
      <c r="AB19" s="636">
        <v>25</v>
      </c>
      <c r="AC19" s="636">
        <v>25</v>
      </c>
      <c r="AD19" s="593">
        <f t="shared" si="0"/>
        <v>575</v>
      </c>
      <c r="AE19" s="688"/>
      <c r="AF19" s="689"/>
    </row>
    <row r="20" spans="1:32" s="404" customFormat="1" x14ac:dyDescent="0.2">
      <c r="A20" s="650" t="s">
        <v>366</v>
      </c>
      <c r="B20" s="703"/>
      <c r="C20" s="703" t="s">
        <v>151</v>
      </c>
      <c r="D20" s="658"/>
      <c r="E20" s="682"/>
      <c r="F20" s="636"/>
      <c r="G20" s="636">
        <v>50</v>
      </c>
      <c r="H20" s="636">
        <v>50</v>
      </c>
      <c r="I20" s="636">
        <v>50</v>
      </c>
      <c r="J20" s="636">
        <v>50</v>
      </c>
      <c r="K20" s="636">
        <v>50</v>
      </c>
      <c r="L20" s="636">
        <v>50</v>
      </c>
      <c r="M20" s="636">
        <v>50</v>
      </c>
      <c r="N20" s="636">
        <v>50</v>
      </c>
      <c r="O20" s="636">
        <v>50</v>
      </c>
      <c r="P20" s="636">
        <v>50</v>
      </c>
      <c r="Q20" s="636">
        <v>50</v>
      </c>
      <c r="R20" s="636">
        <v>50</v>
      </c>
      <c r="S20" s="636">
        <v>50</v>
      </c>
      <c r="T20" s="636">
        <v>50</v>
      </c>
      <c r="U20" s="636">
        <v>50</v>
      </c>
      <c r="V20" s="636">
        <v>50</v>
      </c>
      <c r="W20" s="636">
        <v>50</v>
      </c>
      <c r="X20" s="636">
        <v>50</v>
      </c>
      <c r="Y20" s="636">
        <v>50</v>
      </c>
      <c r="Z20" s="636">
        <v>50</v>
      </c>
      <c r="AA20" s="636">
        <v>50</v>
      </c>
      <c r="AB20" s="636">
        <v>50</v>
      </c>
      <c r="AC20" s="636">
        <v>50</v>
      </c>
      <c r="AD20" s="593">
        <f>SUM(E20:AC20)</f>
        <v>1150</v>
      </c>
      <c r="AE20" s="688">
        <f>AD20*D20</f>
        <v>0</v>
      </c>
      <c r="AF20" s="689" t="str">
        <f>IF(AD20&lt;0,"buy","sell")</f>
        <v>sell</v>
      </c>
    </row>
    <row r="21" spans="1:32" s="404" customFormat="1" x14ac:dyDescent="0.2">
      <c r="A21" s="650"/>
      <c r="B21" s="703"/>
      <c r="C21" s="658"/>
      <c r="D21" s="658"/>
      <c r="E21" s="682"/>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8">
        <f>AD21*D21</f>
        <v>0</v>
      </c>
      <c r="AF21" s="689"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8"/>
      <c r="AF22" s="689"/>
    </row>
    <row r="23" spans="1:32" s="356" customFormat="1" x14ac:dyDescent="0.2">
      <c r="A23" s="659" t="s">
        <v>205</v>
      </c>
      <c r="B23" s="685"/>
      <c r="C23" s="685"/>
      <c r="D23" s="686"/>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0"/>
      <c r="AF23" s="691"/>
    </row>
    <row r="24" spans="1:32" s="356" customFormat="1" x14ac:dyDescent="0.2">
      <c r="A24" s="611" t="s">
        <v>206</v>
      </c>
      <c r="B24" s="687"/>
      <c r="C24" s="608"/>
      <c r="D24" s="687"/>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7"/>
      <c r="AE24" s="692"/>
      <c r="AF24" s="692"/>
    </row>
    <row r="25" spans="1:32" s="356" customFormat="1" hidden="1" x14ac:dyDescent="0.2">
      <c r="A25" s="612" t="s">
        <v>277</v>
      </c>
      <c r="B25" s="478" t="s">
        <v>240</v>
      </c>
      <c r="C25" s="478" t="s">
        <v>151</v>
      </c>
      <c r="D25" s="479">
        <f>F99</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6" si="4">SUM(F25:AC25)</f>
        <v>0</v>
      </c>
      <c r="AE25" s="693">
        <f t="shared" ref="AE25:AE73" si="5">AD25*D25</f>
        <v>0</v>
      </c>
      <c r="AF25" s="694" t="str">
        <f>IF(AD25&lt;0,"buy","sell")</f>
        <v>sell</v>
      </c>
    </row>
    <row r="26" spans="1:32" s="356" customFormat="1" hidden="1" x14ac:dyDescent="0.2">
      <c r="A26" s="612" t="s">
        <v>277</v>
      </c>
      <c r="B26" s="478" t="s">
        <v>240</v>
      </c>
      <c r="C26" s="478" t="s">
        <v>151</v>
      </c>
      <c r="D26" s="479">
        <f>F100</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3">
        <f t="shared" si="5"/>
        <v>0</v>
      </c>
      <c r="AF26" s="694" t="str">
        <f t="shared" ref="AF26:AF48" si="6">IF(AD26&lt;0,"buy","sell")</f>
        <v>sell</v>
      </c>
    </row>
    <row r="27" spans="1:32" s="356" customFormat="1" hidden="1" x14ac:dyDescent="0.2">
      <c r="A27" s="612" t="s">
        <v>277</v>
      </c>
      <c r="B27" s="478" t="s">
        <v>240</v>
      </c>
      <c r="C27" s="478" t="s">
        <v>151</v>
      </c>
      <c r="D27" s="479">
        <f>F101</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3">
        <f t="shared" si="5"/>
        <v>0</v>
      </c>
      <c r="AF27" s="694" t="str">
        <f t="shared" si="6"/>
        <v>sell</v>
      </c>
    </row>
    <row r="28" spans="1:32" s="356" customFormat="1" hidden="1" x14ac:dyDescent="0.2">
      <c r="A28" s="612" t="s">
        <v>277</v>
      </c>
      <c r="B28" s="478" t="s">
        <v>240</v>
      </c>
      <c r="C28" s="478" t="s">
        <v>151</v>
      </c>
      <c r="D28" s="479">
        <f>F102</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3">
        <f t="shared" si="5"/>
        <v>0</v>
      </c>
      <c r="AF28" s="694" t="str">
        <f t="shared" si="6"/>
        <v>sell</v>
      </c>
    </row>
    <row r="29" spans="1:32" s="356" customFormat="1" hidden="1" x14ac:dyDescent="0.2">
      <c r="A29" s="612" t="s">
        <v>277</v>
      </c>
      <c r="B29" s="478" t="s">
        <v>240</v>
      </c>
      <c r="C29" s="478" t="s">
        <v>151</v>
      </c>
      <c r="D29" s="479">
        <f t="shared" ref="D29:D48" si="7">F103</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3">
        <f t="shared" si="5"/>
        <v>0</v>
      </c>
      <c r="AF29" s="694"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3">
        <f t="shared" si="5"/>
        <v>0</v>
      </c>
      <c r="AF30" s="694"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3">
        <f t="shared" si="5"/>
        <v>0</v>
      </c>
      <c r="AF31" s="694"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3">
        <f t="shared" si="5"/>
        <v>0</v>
      </c>
      <c r="AF32" s="694"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3">
        <f t="shared" si="5"/>
        <v>0</v>
      </c>
      <c r="AF33" s="694"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3">
        <f t="shared" si="5"/>
        <v>0</v>
      </c>
      <c r="AF34" s="694"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3">
        <f t="shared" si="5"/>
        <v>0</v>
      </c>
      <c r="AF35" s="694"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3">
        <f t="shared" si="5"/>
        <v>0</v>
      </c>
      <c r="AF36" s="694"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3">
        <f t="shared" si="5"/>
        <v>0</v>
      </c>
      <c r="AF37" s="694"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3">
        <f t="shared" si="5"/>
        <v>0</v>
      </c>
      <c r="AF38" s="694"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3">
        <f t="shared" si="5"/>
        <v>0</v>
      </c>
      <c r="AF39" s="694"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3">
        <f t="shared" si="5"/>
        <v>0</v>
      </c>
      <c r="AF40" s="694"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3">
        <f t="shared" si="5"/>
        <v>0</v>
      </c>
      <c r="AF41" s="694"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3">
        <f t="shared" si="5"/>
        <v>0</v>
      </c>
      <c r="AF42" s="694"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3">
        <f t="shared" si="5"/>
        <v>0</v>
      </c>
      <c r="AF43" s="694"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3">
        <f t="shared" si="5"/>
        <v>0</v>
      </c>
      <c r="AF44" s="694"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3">
        <f t="shared" si="5"/>
        <v>0</v>
      </c>
      <c r="AF45" s="694"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3">
        <f t="shared" si="5"/>
        <v>0</v>
      </c>
      <c r="AF46" s="694"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3">
        <f t="shared" si="5"/>
        <v>0</v>
      </c>
      <c r="AF47" s="694"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3">
        <f t="shared" si="5"/>
        <v>0</v>
      </c>
      <c r="AF48" s="694"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3">
        <f t="shared" si="5"/>
        <v>0</v>
      </c>
      <c r="AF49" s="694"/>
    </row>
    <row r="50" spans="1:32" s="356" customFormat="1" hidden="1" x14ac:dyDescent="0.2">
      <c r="A50" s="612" t="s">
        <v>277</v>
      </c>
      <c r="B50" s="478" t="s">
        <v>240</v>
      </c>
      <c r="C50" s="478" t="s">
        <v>278</v>
      </c>
      <c r="D50" s="479">
        <f t="shared" ref="D50:D72" si="8">F129</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3">
        <f t="shared" si="5"/>
        <v>0</v>
      </c>
      <c r="AF50" s="694"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3">
        <f t="shared" si="5"/>
        <v>0</v>
      </c>
      <c r="AF51" s="694"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3">
        <f t="shared" si="5"/>
        <v>0</v>
      </c>
      <c r="AF52" s="694"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3">
        <f t="shared" si="5"/>
        <v>0</v>
      </c>
      <c r="AF53" s="694"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3">
        <f t="shared" si="5"/>
        <v>0</v>
      </c>
      <c r="AF54" s="694"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3">
        <f t="shared" si="5"/>
        <v>0</v>
      </c>
      <c r="AF55" s="694"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3">
        <f t="shared" si="5"/>
        <v>0</v>
      </c>
      <c r="AF56" s="694"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3">
        <f t="shared" si="5"/>
        <v>0</v>
      </c>
      <c r="AF57" s="694"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3">
        <f t="shared" si="5"/>
        <v>0</v>
      </c>
      <c r="AF58" s="694"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3">
        <f t="shared" si="5"/>
        <v>0</v>
      </c>
      <c r="AF59" s="694"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3">
        <f t="shared" si="5"/>
        <v>0</v>
      </c>
      <c r="AF60" s="694"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3">
        <f t="shared" si="5"/>
        <v>0</v>
      </c>
      <c r="AF61" s="694"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3">
        <f t="shared" si="5"/>
        <v>0</v>
      </c>
      <c r="AF62" s="694"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3">
        <f t="shared" si="5"/>
        <v>0</v>
      </c>
      <c r="AF63" s="694"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3">
        <f t="shared" si="5"/>
        <v>0</v>
      </c>
      <c r="AF64" s="694"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3">
        <f t="shared" si="5"/>
        <v>0</v>
      </c>
      <c r="AF65" s="694"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3">
        <f t="shared" si="5"/>
        <v>0</v>
      </c>
      <c r="AF66" s="694"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3">
        <f t="shared" si="5"/>
        <v>0</v>
      </c>
      <c r="AF67" s="694"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3">
        <f t="shared" si="5"/>
        <v>0</v>
      </c>
      <c r="AF68" s="694"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3">
        <f t="shared" si="5"/>
        <v>0</v>
      </c>
      <c r="AF69" s="694"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3">
        <f t="shared" si="5"/>
        <v>0</v>
      </c>
      <c r="AF70" s="694"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3">
        <f t="shared" si="5"/>
        <v>0</v>
      </c>
      <c r="AF71" s="694"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3">
        <f t="shared" si="5"/>
        <v>0</v>
      </c>
      <c r="AF72" s="694"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5">
        <f t="shared" si="5"/>
        <v>0</v>
      </c>
      <c r="AF73" s="696"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5">
        <f>AD74*D74</f>
        <v>0</v>
      </c>
      <c r="AF74" s="696"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5">
        <f>AD75*D75</f>
        <v>0</v>
      </c>
      <c r="AF75" s="696"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5"/>
      <c r="AF76" s="696"/>
    </row>
    <row r="77" spans="1:32" s="356" customFormat="1" x14ac:dyDescent="0.2">
      <c r="A77" s="618"/>
      <c r="B77" s="624"/>
      <c r="C77" s="624"/>
      <c r="D77" s="622"/>
      <c r="E77" s="614"/>
      <c r="F77" s="702"/>
      <c r="G77" s="702"/>
      <c r="H77" s="702"/>
      <c r="I77" s="702"/>
      <c r="J77" s="702"/>
      <c r="K77" s="702"/>
      <c r="L77" s="702"/>
      <c r="M77" s="702"/>
      <c r="N77" s="702"/>
      <c r="O77" s="702"/>
      <c r="P77" s="702"/>
      <c r="Q77" s="702"/>
      <c r="R77" s="702"/>
      <c r="S77" s="702"/>
      <c r="T77" s="702"/>
      <c r="U77" s="702"/>
      <c r="V77" s="702"/>
      <c r="W77" s="702"/>
      <c r="X77" s="702"/>
      <c r="Y77" s="702"/>
      <c r="Z77" s="702"/>
      <c r="AA77" s="702"/>
      <c r="AB77" s="702"/>
      <c r="AC77" s="702"/>
      <c r="AD77" s="589">
        <f>SUM(E77:AC77)</f>
        <v>0</v>
      </c>
      <c r="AE77" s="695">
        <f>AD77*D77</f>
        <v>0</v>
      </c>
      <c r="AF77" s="696" t="str">
        <f>IF(AD77&lt;0,"buy","sell")</f>
        <v>sell</v>
      </c>
    </row>
    <row r="78" spans="1:32" s="356" customFormat="1" x14ac:dyDescent="0.2">
      <c r="A78" s="618" t="s">
        <v>67</v>
      </c>
      <c r="B78" s="624" t="s">
        <v>372</v>
      </c>
      <c r="C78" s="624" t="s">
        <v>151</v>
      </c>
      <c r="D78" s="622">
        <v>12</v>
      </c>
      <c r="E78" s="614"/>
      <c r="F78" s="702"/>
      <c r="G78" s="702"/>
      <c r="H78" s="702">
        <v>30</v>
      </c>
      <c r="I78" s="702">
        <v>40</v>
      </c>
      <c r="J78" s="702">
        <v>40</v>
      </c>
      <c r="K78" s="702">
        <v>40</v>
      </c>
      <c r="L78" s="702"/>
      <c r="M78" s="702"/>
      <c r="N78" s="702"/>
      <c r="O78" s="702"/>
      <c r="P78" s="702"/>
      <c r="Q78" s="702"/>
      <c r="R78" s="702"/>
      <c r="S78" s="702"/>
      <c r="T78" s="702"/>
      <c r="U78" s="702"/>
      <c r="V78" s="702"/>
      <c r="W78" s="702"/>
      <c r="X78" s="702"/>
      <c r="Y78" s="702"/>
      <c r="Z78" s="702"/>
      <c r="AA78" s="702"/>
      <c r="AB78" s="702"/>
      <c r="AC78" s="702"/>
      <c r="AD78" s="589"/>
      <c r="AE78" s="695"/>
      <c r="AF78" s="696"/>
    </row>
    <row r="79" spans="1:32" s="356" customFormat="1" x14ac:dyDescent="0.2">
      <c r="A79" s="628" t="s">
        <v>371</v>
      </c>
      <c r="B79" s="570" t="s">
        <v>372</v>
      </c>
      <c r="C79" s="624" t="s">
        <v>151</v>
      </c>
      <c r="D79" s="629">
        <v>21</v>
      </c>
      <c r="E79" s="614"/>
      <c r="F79" s="702"/>
      <c r="G79" s="702"/>
      <c r="H79" s="702"/>
      <c r="I79" s="702"/>
      <c r="J79" s="702"/>
      <c r="K79" s="702"/>
      <c r="L79" s="702"/>
      <c r="M79" s="702"/>
      <c r="N79" s="702"/>
      <c r="O79" s="708"/>
      <c r="P79" s="702"/>
      <c r="Q79" s="702"/>
      <c r="R79" s="702"/>
      <c r="S79" s="702"/>
      <c r="T79" s="702">
        <v>25</v>
      </c>
      <c r="U79" s="702">
        <v>25</v>
      </c>
      <c r="V79" s="702"/>
      <c r="W79" s="702"/>
      <c r="X79" s="702"/>
      <c r="Y79" s="702"/>
      <c r="Z79" s="702"/>
      <c r="AA79" s="702"/>
      <c r="AB79" s="702"/>
      <c r="AC79" s="702"/>
      <c r="AD79" s="589"/>
      <c r="AE79" s="695"/>
      <c r="AF79" s="696"/>
    </row>
    <row r="80" spans="1:32" s="356" customFormat="1" x14ac:dyDescent="0.2">
      <c r="A80" s="628" t="s">
        <v>371</v>
      </c>
      <c r="B80" s="570" t="s">
        <v>372</v>
      </c>
      <c r="C80" s="624" t="s">
        <v>278</v>
      </c>
      <c r="D80" s="629">
        <v>18</v>
      </c>
      <c r="E80" s="614"/>
      <c r="F80" s="702"/>
      <c r="G80" s="702"/>
      <c r="H80" s="702"/>
      <c r="I80" s="702"/>
      <c r="J80" s="702"/>
      <c r="K80" s="702"/>
      <c r="L80" s="702"/>
      <c r="M80" s="702"/>
      <c r="N80" s="702"/>
      <c r="O80" s="708"/>
      <c r="P80" s="702"/>
      <c r="Q80" s="702"/>
      <c r="R80" s="702"/>
      <c r="S80" s="702"/>
      <c r="T80" s="702"/>
      <c r="U80" s="702"/>
      <c r="V80" s="702"/>
      <c r="W80" s="702"/>
      <c r="X80" s="702"/>
      <c r="Y80" s="702"/>
      <c r="Z80" s="702"/>
      <c r="AA80" s="702"/>
      <c r="AB80" s="702"/>
      <c r="AC80" s="702">
        <v>75</v>
      </c>
      <c r="AD80" s="589">
        <f>SUM(E80:AC80)</f>
        <v>75</v>
      </c>
      <c r="AE80" s="695">
        <f>AD80*D80</f>
        <v>1350</v>
      </c>
      <c r="AF80" s="696" t="str">
        <f>IF(AD80&lt;0,"buy","sell")</f>
        <v>sell</v>
      </c>
    </row>
    <row r="81" spans="1:33" s="356" customFormat="1" x14ac:dyDescent="0.2">
      <c r="A81" s="618"/>
      <c r="B81" s="624"/>
      <c r="C81" s="624"/>
      <c r="D81" s="622"/>
      <c r="E81" s="614"/>
      <c r="F81" s="702"/>
      <c r="G81" s="702"/>
      <c r="H81" s="702"/>
      <c r="I81" s="702"/>
      <c r="J81" s="702"/>
      <c r="K81" s="702"/>
      <c r="L81" s="702"/>
      <c r="M81" s="702"/>
      <c r="N81" s="702"/>
      <c r="O81" s="708"/>
      <c r="P81" s="702"/>
      <c r="Q81" s="702"/>
      <c r="R81" s="702"/>
      <c r="S81" s="702"/>
      <c r="T81" s="702"/>
      <c r="U81" s="702"/>
      <c r="V81" s="702"/>
      <c r="W81" s="702"/>
      <c r="X81" s="702"/>
      <c r="Y81" s="702"/>
      <c r="Z81" s="702"/>
      <c r="AA81" s="702"/>
      <c r="AB81" s="702"/>
      <c r="AC81" s="702"/>
      <c r="AD81" s="589"/>
      <c r="AE81" s="695"/>
      <c r="AF81" s="696"/>
    </row>
    <row r="82" spans="1:33" s="356" customFormat="1" x14ac:dyDescent="0.2">
      <c r="A82" s="618"/>
      <c r="B82" s="624"/>
      <c r="C82" s="624"/>
      <c r="D82" s="622"/>
      <c r="E82" s="614"/>
      <c r="F82" s="702"/>
      <c r="G82" s="702"/>
      <c r="H82" s="702"/>
      <c r="I82" s="702"/>
      <c r="J82" s="702"/>
      <c r="K82" s="702"/>
      <c r="L82" s="702"/>
      <c r="M82" s="702"/>
      <c r="N82" s="702"/>
      <c r="O82" s="708"/>
      <c r="P82" s="702"/>
      <c r="Q82" s="702"/>
      <c r="R82" s="702"/>
      <c r="S82" s="702"/>
      <c r="T82" s="702"/>
      <c r="U82" s="702"/>
      <c r="V82" s="702"/>
      <c r="W82" s="702"/>
      <c r="X82" s="702"/>
      <c r="Y82" s="702"/>
      <c r="Z82" s="702"/>
      <c r="AA82" s="702"/>
      <c r="AB82" s="702"/>
      <c r="AC82" s="702"/>
      <c r="AD82" s="589"/>
      <c r="AE82" s="695"/>
      <c r="AF82" s="696"/>
    </row>
    <row r="83" spans="1:33" s="356" customFormat="1" x14ac:dyDescent="0.2">
      <c r="A83" s="618"/>
      <c r="B83" s="624"/>
      <c r="C83" s="624"/>
      <c r="D83" s="622"/>
      <c r="E83" s="614"/>
      <c r="F83" s="702"/>
      <c r="G83" s="702"/>
      <c r="H83" s="702"/>
      <c r="I83" s="702"/>
      <c r="J83" s="702"/>
      <c r="K83" s="702"/>
      <c r="L83" s="702"/>
      <c r="M83" s="702"/>
      <c r="N83" s="702"/>
      <c r="O83" s="708"/>
      <c r="P83" s="702"/>
      <c r="Q83" s="702"/>
      <c r="R83" s="702"/>
      <c r="S83" s="702"/>
      <c r="T83" s="702"/>
      <c r="U83" s="702"/>
      <c r="V83" s="702"/>
      <c r="W83" s="702"/>
      <c r="X83" s="702"/>
      <c r="Y83" s="702"/>
      <c r="Z83" s="702"/>
      <c r="AA83" s="702"/>
      <c r="AB83" s="702"/>
      <c r="AC83" s="702"/>
      <c r="AD83" s="589"/>
      <c r="AE83" s="695"/>
      <c r="AF83" s="696"/>
    </row>
    <row r="84" spans="1:33" s="356" customFormat="1" x14ac:dyDescent="0.2">
      <c r="A84" s="618"/>
      <c r="B84" s="624"/>
      <c r="C84" s="624"/>
      <c r="D84" s="622"/>
      <c r="E84" s="614"/>
      <c r="F84" s="702"/>
      <c r="G84" s="702"/>
      <c r="H84" s="702"/>
      <c r="I84" s="702"/>
      <c r="J84" s="702"/>
      <c r="K84" s="702"/>
      <c r="L84" s="702"/>
      <c r="M84" s="702"/>
      <c r="N84" s="702"/>
      <c r="O84" s="708"/>
      <c r="P84" s="702"/>
      <c r="Q84" s="702"/>
      <c r="R84" s="702"/>
      <c r="S84" s="702"/>
      <c r="T84" s="702"/>
      <c r="U84" s="702"/>
      <c r="V84" s="702"/>
      <c r="W84" s="702"/>
      <c r="X84" s="702"/>
      <c r="Y84" s="702"/>
      <c r="Z84" s="702"/>
      <c r="AA84" s="702"/>
      <c r="AB84" s="702"/>
      <c r="AC84" s="702"/>
      <c r="AD84" s="589"/>
      <c r="AE84" s="695"/>
      <c r="AF84" s="696"/>
    </row>
    <row r="85" spans="1:33" s="356" customFormat="1" ht="12.75" customHeight="1" x14ac:dyDescent="0.2">
      <c r="A85" s="618"/>
      <c r="B85" s="624"/>
      <c r="C85" s="707"/>
      <c r="D85" s="622"/>
      <c r="E85" s="614"/>
      <c r="F85" s="702"/>
      <c r="G85" s="702"/>
      <c r="H85" s="702"/>
      <c r="I85" s="702"/>
      <c r="J85" s="702"/>
      <c r="K85" s="702"/>
      <c r="L85" s="702"/>
      <c r="M85" s="702"/>
      <c r="N85" s="702"/>
      <c r="O85" s="702"/>
      <c r="P85" s="702"/>
      <c r="Q85" s="702"/>
      <c r="R85" s="702"/>
      <c r="S85" s="702"/>
      <c r="T85" s="702"/>
      <c r="U85" s="702"/>
      <c r="V85" s="702"/>
      <c r="W85" s="702"/>
      <c r="X85" s="702"/>
      <c r="Y85" s="702"/>
      <c r="Z85" s="702"/>
      <c r="AA85" s="702"/>
      <c r="AB85" s="702"/>
      <c r="AC85" s="702"/>
      <c r="AD85" s="589">
        <f>SUM(E85:AC85)</f>
        <v>0</v>
      </c>
      <c r="AE85" s="695">
        <f>AD85*D85</f>
        <v>0</v>
      </c>
      <c r="AF85" s="696" t="str">
        <f>IF(AD85&lt;0,"buy","sell")</f>
        <v>sell</v>
      </c>
    </row>
    <row r="86" spans="1:33" s="356" customFormat="1" ht="12.75" customHeight="1" x14ac:dyDescent="0.2">
      <c r="A86" s="617"/>
      <c r="B86" s="619"/>
      <c r="C86" s="619"/>
      <c r="D86" s="701"/>
      <c r="E86" s="700"/>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 t="shared" si="4"/>
        <v>0</v>
      </c>
      <c r="AE86" s="695">
        <f>AD86*D86</f>
        <v>0</v>
      </c>
      <c r="AF86" s="696" t="str">
        <f>IF(AD86&lt;0,"buy","sell")</f>
        <v>sell</v>
      </c>
    </row>
    <row r="87" spans="1:33" s="356" customFormat="1" x14ac:dyDescent="0.2">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SUM(F87:AC87)</f>
        <v>0</v>
      </c>
      <c r="AE87" s="695">
        <f>AD87*D87</f>
        <v>0</v>
      </c>
      <c r="AF87" s="696" t="str">
        <f>IF(AD87&lt;0,"buy","sell")</f>
        <v>sell</v>
      </c>
    </row>
    <row r="88" spans="1:33" s="356" customFormat="1" ht="11.25" customHeight="1" x14ac:dyDescent="0.2">
      <c r="A88" s="577"/>
      <c r="B88" s="545"/>
      <c r="C88" s="545"/>
      <c r="D88" s="545"/>
      <c r="E88" s="610"/>
      <c r="F88" s="545"/>
      <c r="G88" s="545"/>
      <c r="H88" s="545"/>
      <c r="I88" s="545"/>
      <c r="J88" s="545"/>
      <c r="K88" s="545"/>
      <c r="L88" s="545"/>
      <c r="M88" s="545"/>
      <c r="N88" s="545"/>
      <c r="O88" s="545"/>
      <c r="P88" s="545"/>
      <c r="Q88" s="545"/>
      <c r="R88" s="545"/>
      <c r="S88" s="545"/>
      <c r="T88" s="545"/>
      <c r="U88" s="545"/>
      <c r="V88" s="545"/>
      <c r="W88" s="545"/>
      <c r="X88" s="545"/>
      <c r="Y88" s="545"/>
      <c r="Z88" s="545"/>
      <c r="AA88" s="545"/>
      <c r="AB88" s="545"/>
      <c r="AC88" s="545"/>
      <c r="AD88" s="545"/>
      <c r="AE88" s="545"/>
      <c r="AF88" s="545"/>
      <c r="AG88" s="473"/>
    </row>
    <row r="89" spans="1:33" s="356" customFormat="1" ht="12.75" customHeight="1" x14ac:dyDescent="0.2">
      <c r="A89" s="628" t="s">
        <v>224</v>
      </c>
      <c r="B89" s="570" t="s">
        <v>374</v>
      </c>
      <c r="C89" s="570"/>
      <c r="D89" s="629">
        <v>40</v>
      </c>
      <c r="E89" s="571"/>
      <c r="F89" s="572"/>
      <c r="G89" s="573"/>
      <c r="H89" s="573"/>
      <c r="I89" s="573"/>
      <c r="J89" s="573"/>
      <c r="K89" s="573"/>
      <c r="L89" s="573"/>
      <c r="M89" s="573"/>
      <c r="N89" s="573"/>
      <c r="O89" s="573"/>
      <c r="P89" s="573"/>
      <c r="Q89" s="573"/>
      <c r="R89" s="573"/>
      <c r="S89" s="573"/>
      <c r="T89" s="573"/>
      <c r="U89" s="573"/>
      <c r="V89" s="573"/>
      <c r="W89" s="573"/>
      <c r="X89" s="573">
        <v>-30</v>
      </c>
      <c r="Y89" s="573"/>
      <c r="Z89" s="573"/>
      <c r="AA89" s="573"/>
      <c r="AB89" s="573"/>
      <c r="AC89" s="573"/>
      <c r="AD89" s="589">
        <f>SUM(AA89:AC89)</f>
        <v>0</v>
      </c>
      <c r="AE89" s="695">
        <f>AD89*D89</f>
        <v>0</v>
      </c>
      <c r="AF89" s="696" t="str">
        <f>IF(AD89&lt;0,"buy","sell")</f>
        <v>sell</v>
      </c>
    </row>
    <row r="90" spans="1:33" s="356" customFormat="1" x14ac:dyDescent="0.2">
      <c r="A90" s="628" t="s">
        <v>63</v>
      </c>
      <c r="B90" s="570" t="s">
        <v>372</v>
      </c>
      <c r="C90" s="624"/>
      <c r="D90" s="629">
        <v>42</v>
      </c>
      <c r="E90" s="571"/>
      <c r="F90" s="572"/>
      <c r="G90" s="573"/>
      <c r="H90" s="573"/>
      <c r="I90" s="573"/>
      <c r="J90" s="573"/>
      <c r="K90" s="573"/>
      <c r="L90" s="573"/>
      <c r="M90" s="573"/>
      <c r="N90" s="573"/>
      <c r="O90" s="573"/>
      <c r="P90" s="573"/>
      <c r="Q90" s="573"/>
      <c r="R90" s="573"/>
      <c r="S90" s="573"/>
      <c r="T90" s="573"/>
      <c r="U90" s="573"/>
      <c r="V90" s="573"/>
      <c r="W90" s="573"/>
      <c r="X90" s="573">
        <v>-35</v>
      </c>
      <c r="Y90" s="573"/>
      <c r="Z90" s="709"/>
      <c r="AA90" s="573"/>
      <c r="AB90" s="573"/>
      <c r="AC90" s="573"/>
      <c r="AD90" s="589">
        <f>SUM(AA90:AC90)</f>
        <v>0</v>
      </c>
      <c r="AE90" s="695">
        <f>AD90*D90</f>
        <v>0</v>
      </c>
      <c r="AF90" s="696" t="str">
        <f>IF(AD90&lt;0,"buy","sell")</f>
        <v>sell</v>
      </c>
    </row>
    <row r="91" spans="1:33" s="356" customFormat="1" x14ac:dyDescent="0.2">
      <c r="A91" s="551" t="s">
        <v>67</v>
      </c>
      <c r="B91" s="559" t="s">
        <v>374</v>
      </c>
      <c r="C91" s="559" t="s">
        <v>151</v>
      </c>
      <c r="D91" s="710">
        <v>10</v>
      </c>
      <c r="E91" s="552"/>
      <c r="F91" s="553"/>
      <c r="G91" s="554"/>
      <c r="H91" s="553"/>
      <c r="I91" s="553"/>
      <c r="J91" s="553"/>
      <c r="K91" s="553"/>
      <c r="L91" s="553"/>
      <c r="M91" s="553"/>
      <c r="N91" s="553"/>
      <c r="O91" s="553"/>
      <c r="P91" s="553"/>
      <c r="Q91" s="553"/>
      <c r="R91" s="553"/>
      <c r="S91" s="553"/>
      <c r="T91" s="553"/>
      <c r="U91" s="553"/>
      <c r="V91" s="553"/>
      <c r="W91" s="553"/>
      <c r="X91" s="553">
        <v>-25</v>
      </c>
      <c r="Y91" s="553">
        <v>-25</v>
      </c>
      <c r="Z91" s="553">
        <v>-25</v>
      </c>
      <c r="AA91" s="553"/>
      <c r="AB91" s="553"/>
      <c r="AC91" s="555"/>
      <c r="AD91" s="589"/>
      <c r="AE91" s="695"/>
      <c r="AF91" s="696"/>
    </row>
    <row r="92" spans="1:33" s="356" customFormat="1" x14ac:dyDescent="0.2">
      <c r="A92" s="551"/>
      <c r="B92" s="559"/>
      <c r="C92" s="559"/>
      <c r="D92" s="552"/>
      <c r="E92" s="552"/>
      <c r="F92" s="553"/>
      <c r="G92" s="554"/>
      <c r="H92" s="553"/>
      <c r="I92" s="553"/>
      <c r="J92" s="553"/>
      <c r="K92" s="553"/>
      <c r="L92" s="553"/>
      <c r="M92" s="553"/>
      <c r="N92" s="553"/>
      <c r="O92" s="553"/>
      <c r="P92" s="553"/>
      <c r="Q92" s="553"/>
      <c r="R92" s="553"/>
      <c r="S92" s="553"/>
      <c r="T92" s="553"/>
      <c r="U92" s="556"/>
      <c r="V92" s="553"/>
      <c r="W92" s="553"/>
      <c r="X92" s="553"/>
      <c r="Y92" s="553"/>
      <c r="Z92" s="553"/>
      <c r="AA92" s="553"/>
      <c r="AB92" s="553"/>
      <c r="AC92" s="555"/>
      <c r="AD92" s="578">
        <f>SUM(F97:AC97)</f>
        <v>0</v>
      </c>
      <c r="AE92" s="579">
        <f>AD92*D92</f>
        <v>0</v>
      </c>
      <c r="AF92" s="533" t="str">
        <f>IF(AD92&lt;0,"buy","sell")</f>
        <v>sell</v>
      </c>
    </row>
    <row r="93" spans="1:33" s="356" customFormat="1" x14ac:dyDescent="0.2">
      <c r="A93" s="557"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8" x14ac:dyDescent="0.25">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5" thickBot="1" x14ac:dyDescent="0.25">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75" thickBot="1" x14ac:dyDescent="0.3">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8" x14ac:dyDescent="0.25">
      <c r="A98" s="444" t="s">
        <v>243</v>
      </c>
      <c r="B98" s="445" t="s">
        <v>244</v>
      </c>
      <c r="C98" s="445"/>
      <c r="D98" s="575"/>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
      <c r="A99" s="437">
        <v>24</v>
      </c>
      <c r="B99" s="437">
        <v>1</v>
      </c>
      <c r="C99" s="446">
        <v>1</v>
      </c>
      <c r="D99" s="580"/>
      <c r="E99" s="535"/>
      <c r="F99" s="587">
        <f>D99-0.25</f>
        <v>-0.25</v>
      </c>
      <c r="G99" s="558">
        <f>D99+0.56</f>
        <v>0.56000000000000005</v>
      </c>
      <c r="K99" s="373"/>
      <c r="M99" s="370"/>
      <c r="N99" s="370"/>
      <c r="Z99" s="372"/>
      <c r="AA99" s="539"/>
      <c r="AB99" s="539"/>
      <c r="AC99" s="538"/>
      <c r="AD99" s="402"/>
      <c r="AE99" s="402"/>
      <c r="AF99" s="539"/>
      <c r="AG99" s="356"/>
    </row>
    <row r="100" spans="1:33" s="356" customFormat="1" x14ac:dyDescent="0.2">
      <c r="A100" s="435">
        <v>1</v>
      </c>
      <c r="B100" s="435">
        <v>2</v>
      </c>
      <c r="C100" s="446">
        <v>1</v>
      </c>
      <c r="D100" s="580"/>
      <c r="E100" s="492"/>
      <c r="F100" s="587">
        <f t="shared" ref="F100:F123" si="10">D100-0.25</f>
        <v>-0.25</v>
      </c>
      <c r="G100" s="558">
        <f t="shared" ref="G100:G123" si="11">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SUM(AD24:AD85)</f>
        <v>75</v>
      </c>
      <c r="AE100" s="480">
        <f>SUM(AE24:AE85)</f>
        <v>1350</v>
      </c>
      <c r="AF100" s="539"/>
    </row>
    <row r="101" spans="1:33" s="356" customFormat="1" x14ac:dyDescent="0.2">
      <c r="A101" s="437">
        <v>2</v>
      </c>
      <c r="B101" s="437">
        <v>3</v>
      </c>
      <c r="C101" s="446">
        <v>1</v>
      </c>
      <c r="D101" s="580"/>
      <c r="E101" s="492"/>
      <c r="F101" s="587">
        <f t="shared" si="10"/>
        <v>-0.25</v>
      </c>
      <c r="G101" s="558">
        <f t="shared" si="11"/>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SUM(AD86:AD90)</f>
        <v>0</v>
      </c>
      <c r="AE101" s="480">
        <f>SUM(AE86:AE90)</f>
        <v>0</v>
      </c>
      <c r="AF101" s="539"/>
    </row>
    <row r="102" spans="1:33" s="356" customFormat="1" x14ac:dyDescent="0.2">
      <c r="A102" s="435">
        <v>3</v>
      </c>
      <c r="B102" s="435">
        <v>4</v>
      </c>
      <c r="C102" s="446">
        <v>1</v>
      </c>
      <c r="D102" s="580"/>
      <c r="E102" s="492"/>
      <c r="F102" s="587">
        <f t="shared" si="10"/>
        <v>-0.25</v>
      </c>
      <c r="G102" s="558">
        <f t="shared" si="11"/>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
      <c r="A103" s="437">
        <v>4</v>
      </c>
      <c r="B103" s="437">
        <v>5</v>
      </c>
      <c r="C103" s="446">
        <v>1</v>
      </c>
      <c r="D103" s="580"/>
      <c r="E103" s="492"/>
      <c r="F103" s="587">
        <f t="shared" si="10"/>
        <v>-0.25</v>
      </c>
      <c r="G103" s="558">
        <f t="shared" si="11"/>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
      <c r="A104" s="435">
        <v>5</v>
      </c>
      <c r="B104" s="435">
        <v>6</v>
      </c>
      <c r="C104" s="446">
        <v>1</v>
      </c>
      <c r="D104" s="580"/>
      <c r="E104" s="492"/>
      <c r="F104" s="587">
        <f t="shared" si="10"/>
        <v>-0.25</v>
      </c>
      <c r="G104" s="558">
        <f t="shared" si="11"/>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
      <c r="A105" s="437">
        <v>6</v>
      </c>
      <c r="B105" s="437">
        <v>7</v>
      </c>
      <c r="C105" s="446">
        <v>1</v>
      </c>
      <c r="D105" s="580"/>
      <c r="E105" s="492"/>
      <c r="F105" s="587">
        <f t="shared" si="10"/>
        <v>-0.25</v>
      </c>
      <c r="G105" s="558">
        <f t="shared" si="11"/>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
      <c r="A106" s="435">
        <v>7</v>
      </c>
      <c r="B106" s="435">
        <v>8</v>
      </c>
      <c r="C106" s="446">
        <v>1</v>
      </c>
      <c r="D106" s="580"/>
      <c r="E106" s="492"/>
      <c r="F106" s="587">
        <f t="shared" si="10"/>
        <v>-0.25</v>
      </c>
      <c r="G106" s="558">
        <f t="shared" si="11"/>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
      <c r="A107" s="437">
        <v>8</v>
      </c>
      <c r="B107" s="437">
        <v>9</v>
      </c>
      <c r="C107" s="446">
        <v>1</v>
      </c>
      <c r="D107" s="580"/>
      <c r="E107" s="492"/>
      <c r="F107" s="587">
        <f t="shared" si="10"/>
        <v>-0.25</v>
      </c>
      <c r="G107" s="558">
        <f t="shared" si="11"/>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
      <c r="A108" s="435">
        <v>9</v>
      </c>
      <c r="B108" s="435">
        <v>10</v>
      </c>
      <c r="C108" s="446">
        <v>1</v>
      </c>
      <c r="D108" s="580"/>
      <c r="E108" s="492"/>
      <c r="F108" s="587">
        <f t="shared" si="10"/>
        <v>-0.25</v>
      </c>
      <c r="G108" s="558">
        <f t="shared" si="11"/>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
      <c r="A109" s="437">
        <v>10</v>
      </c>
      <c r="B109" s="437">
        <v>11</v>
      </c>
      <c r="C109" s="446">
        <v>1</v>
      </c>
      <c r="D109" s="580"/>
      <c r="E109" s="492"/>
      <c r="F109" s="587">
        <f t="shared" si="10"/>
        <v>-0.25</v>
      </c>
      <c r="G109" s="558">
        <f t="shared" si="11"/>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
      <c r="A110" s="435">
        <v>11</v>
      </c>
      <c r="B110" s="435">
        <v>12</v>
      </c>
      <c r="C110" s="446">
        <v>1</v>
      </c>
      <c r="D110" s="580"/>
      <c r="E110" s="492"/>
      <c r="F110" s="587">
        <f t="shared" si="10"/>
        <v>-0.25</v>
      </c>
      <c r="G110" s="558">
        <f t="shared" si="11"/>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
      <c r="A111" s="437">
        <v>12</v>
      </c>
      <c r="B111" s="437">
        <v>13</v>
      </c>
      <c r="C111" s="446">
        <v>1</v>
      </c>
      <c r="D111" s="580"/>
      <c r="E111" s="492"/>
      <c r="F111" s="587">
        <f t="shared" si="10"/>
        <v>-0.25</v>
      </c>
      <c r="G111" s="558">
        <f t="shared" si="11"/>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
      <c r="A112" s="435">
        <v>13</v>
      </c>
      <c r="B112" s="435">
        <v>14</v>
      </c>
      <c r="C112" s="446">
        <v>1</v>
      </c>
      <c r="D112" s="580"/>
      <c r="E112" s="492"/>
      <c r="F112" s="587">
        <f t="shared" si="10"/>
        <v>-0.25</v>
      </c>
      <c r="G112" s="558">
        <f t="shared" si="11"/>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14</v>
      </c>
      <c r="B113" s="437">
        <v>15</v>
      </c>
      <c r="C113" s="446">
        <v>1</v>
      </c>
      <c r="D113" s="580"/>
      <c r="E113" s="492"/>
      <c r="F113" s="587">
        <f t="shared" si="10"/>
        <v>-0.25</v>
      </c>
      <c r="G113" s="558">
        <f t="shared" si="11"/>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15</v>
      </c>
      <c r="B114" s="435">
        <v>16</v>
      </c>
      <c r="C114" s="446">
        <v>1</v>
      </c>
      <c r="D114" s="580"/>
      <c r="E114" s="492"/>
      <c r="F114" s="587">
        <f t="shared" si="10"/>
        <v>-0.25</v>
      </c>
      <c r="G114" s="558">
        <f t="shared" si="11"/>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7">
        <v>16</v>
      </c>
      <c r="B115" s="437">
        <v>17</v>
      </c>
      <c r="C115" s="446">
        <v>1</v>
      </c>
      <c r="D115" s="580"/>
      <c r="E115" s="492"/>
      <c r="F115" s="587">
        <f t="shared" si="10"/>
        <v>-0.25</v>
      </c>
      <c r="G115" s="558">
        <f t="shared" si="11"/>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5">
        <v>17</v>
      </c>
      <c r="B116" s="435">
        <v>18</v>
      </c>
      <c r="C116" s="446">
        <v>1</v>
      </c>
      <c r="D116" s="580"/>
      <c r="E116" s="492"/>
      <c r="F116" s="587">
        <f t="shared" si="10"/>
        <v>-0.25</v>
      </c>
      <c r="G116" s="558">
        <f t="shared" si="11"/>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
      <c r="A117" s="437">
        <v>18</v>
      </c>
      <c r="B117" s="437">
        <v>19</v>
      </c>
      <c r="C117" s="446">
        <v>1</v>
      </c>
      <c r="D117" s="580"/>
      <c r="E117" s="492"/>
      <c r="F117" s="587">
        <f t="shared" si="10"/>
        <v>-0.25</v>
      </c>
      <c r="G117" s="558">
        <f t="shared" si="11"/>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
      <c r="A118" s="435">
        <v>19</v>
      </c>
      <c r="B118" s="435">
        <v>20</v>
      </c>
      <c r="C118" s="446">
        <v>1</v>
      </c>
      <c r="D118" s="580"/>
      <c r="E118" s="492"/>
      <c r="F118" s="587">
        <f t="shared" si="10"/>
        <v>-0.25</v>
      </c>
      <c r="G118" s="558">
        <f t="shared" si="11"/>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5" thickBot="1" x14ac:dyDescent="0.25">
      <c r="A119" s="437">
        <v>20</v>
      </c>
      <c r="B119" s="437">
        <v>21</v>
      </c>
      <c r="C119" s="446">
        <v>1</v>
      </c>
      <c r="D119" s="580"/>
      <c r="E119" s="492"/>
      <c r="F119" s="587">
        <f t="shared" si="10"/>
        <v>-0.25</v>
      </c>
      <c r="G119" s="558">
        <f t="shared" si="11"/>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
      <c r="A120" s="435">
        <v>21</v>
      </c>
      <c r="B120" s="435">
        <v>22</v>
      </c>
      <c r="C120" s="446">
        <v>1</v>
      </c>
      <c r="D120" s="580"/>
      <c r="E120" s="492"/>
      <c r="F120" s="587">
        <f t="shared" si="10"/>
        <v>-0.25</v>
      </c>
      <c r="G120" s="558">
        <f t="shared" si="11"/>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
      <c r="A121" s="437">
        <v>22</v>
      </c>
      <c r="B121" s="437">
        <v>23</v>
      </c>
      <c r="C121" s="446">
        <v>1</v>
      </c>
      <c r="D121" s="580"/>
      <c r="E121" s="492"/>
      <c r="F121" s="587">
        <f t="shared" si="10"/>
        <v>-0.25</v>
      </c>
      <c r="G121" s="558">
        <f t="shared" si="11"/>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
      <c r="A122" s="437">
        <v>23</v>
      </c>
      <c r="B122" s="435">
        <v>24</v>
      </c>
      <c r="C122" s="446">
        <v>1</v>
      </c>
      <c r="D122" s="580"/>
      <c r="E122" s="535"/>
      <c r="F122" s="587">
        <f t="shared" si="10"/>
        <v>-0.25</v>
      </c>
      <c r="G122" s="558">
        <f t="shared" si="11"/>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
      <c r="A123" s="574">
        <v>24</v>
      </c>
      <c r="B123" s="437">
        <v>1</v>
      </c>
      <c r="C123" s="446">
        <v>1</v>
      </c>
      <c r="D123" s="582"/>
      <c r="E123" s="488"/>
      <c r="F123" s="587">
        <f t="shared" si="10"/>
        <v>-0.25</v>
      </c>
      <c r="G123" s="558">
        <f t="shared" si="11"/>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
      <c r="A124" s="356"/>
      <c r="B124" s="356"/>
      <c r="C124" s="356"/>
      <c r="D124" s="580"/>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8" x14ac:dyDescent="0.25">
      <c r="A125" s="434"/>
      <c r="B125" s="448" t="s">
        <v>242</v>
      </c>
      <c r="C125" s="449"/>
      <c r="D125" s="583"/>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5" thickBot="1" x14ac:dyDescent="0.25">
      <c r="A126" s="435"/>
      <c r="B126" s="435"/>
      <c r="C126" s="435"/>
      <c r="D126" s="584"/>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75" thickBot="1" x14ac:dyDescent="0.3">
      <c r="A127" s="438" t="s">
        <v>7</v>
      </c>
      <c r="B127" s="439"/>
      <c r="C127" s="439" t="s">
        <v>265</v>
      </c>
      <c r="D127" s="581"/>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8" x14ac:dyDescent="0.25">
      <c r="A128" s="444" t="s">
        <v>243</v>
      </c>
      <c r="B128" s="445" t="s">
        <v>244</v>
      </c>
      <c r="C128" s="445"/>
      <c r="D128" s="585"/>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5" thickBot="1" x14ac:dyDescent="0.25">
      <c r="A129" s="437">
        <v>24</v>
      </c>
      <c r="B129" s="435">
        <v>1</v>
      </c>
      <c r="C129" s="446">
        <v>1</v>
      </c>
      <c r="D129" s="580"/>
      <c r="E129" s="535"/>
      <c r="F129" s="587">
        <f t="shared" ref="F129:F153" si="12">D129-0.25</f>
        <v>-0.25</v>
      </c>
      <c r="G129" s="558">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
      <c r="A130" s="435">
        <v>1</v>
      </c>
      <c r="B130" s="435">
        <v>2</v>
      </c>
      <c r="C130" s="446">
        <v>1</v>
      </c>
      <c r="D130" s="586"/>
      <c r="E130" s="492"/>
      <c r="F130" s="587">
        <f t="shared" si="12"/>
        <v>-0.25</v>
      </c>
      <c r="G130" s="558">
        <f t="shared" ref="G130:G152" si="13">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
      <c r="A131" s="437">
        <v>2</v>
      </c>
      <c r="B131" s="435">
        <v>3</v>
      </c>
      <c r="C131" s="446">
        <v>1</v>
      </c>
      <c r="D131" s="582"/>
      <c r="E131" s="492"/>
      <c r="F131" s="587">
        <f t="shared" si="12"/>
        <v>-0.25</v>
      </c>
      <c r="G131" s="558">
        <f t="shared" si="13"/>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
      <c r="A132" s="435">
        <v>3</v>
      </c>
      <c r="B132" s="435">
        <v>4</v>
      </c>
      <c r="C132" s="446">
        <v>1</v>
      </c>
      <c r="D132" s="582"/>
      <c r="E132" s="492"/>
      <c r="F132" s="587">
        <f t="shared" si="12"/>
        <v>-0.25</v>
      </c>
      <c r="G132" s="558">
        <f t="shared" si="13"/>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
      <c r="A133" s="437">
        <v>4</v>
      </c>
      <c r="B133" s="435">
        <v>5</v>
      </c>
      <c r="C133" s="446">
        <v>1</v>
      </c>
      <c r="D133" s="582"/>
      <c r="E133" s="492"/>
      <c r="F133" s="587">
        <f t="shared" si="12"/>
        <v>-0.25</v>
      </c>
      <c r="G133" s="558">
        <f t="shared" si="13"/>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
      <c r="A134" s="435">
        <v>5</v>
      </c>
      <c r="B134" s="435">
        <v>6</v>
      </c>
      <c r="C134" s="446">
        <v>1</v>
      </c>
      <c r="D134" s="582"/>
      <c r="E134" s="492"/>
      <c r="F134" s="587">
        <f t="shared" si="12"/>
        <v>-0.25</v>
      </c>
      <c r="G134" s="558">
        <f t="shared" si="13"/>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6</v>
      </c>
      <c r="B135" s="435">
        <v>7</v>
      </c>
      <c r="C135" s="446">
        <v>1</v>
      </c>
      <c r="D135" s="582"/>
      <c r="E135" s="492"/>
      <c r="F135" s="587">
        <f t="shared" si="12"/>
        <v>-0.25</v>
      </c>
      <c r="G135" s="558">
        <f t="shared" si="13"/>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5">
        <v>7</v>
      </c>
      <c r="B136" s="435">
        <v>8</v>
      </c>
      <c r="C136" s="446">
        <v>1</v>
      </c>
      <c r="D136" s="582"/>
      <c r="E136" s="492"/>
      <c r="F136" s="587">
        <f t="shared" si="12"/>
        <v>-0.25</v>
      </c>
      <c r="G136" s="558">
        <f t="shared" si="13"/>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7">
        <v>8</v>
      </c>
      <c r="B137" s="435">
        <v>9</v>
      </c>
      <c r="C137" s="446">
        <v>1</v>
      </c>
      <c r="D137" s="582"/>
      <c r="E137" s="492"/>
      <c r="F137" s="587">
        <f t="shared" si="12"/>
        <v>-0.25</v>
      </c>
      <c r="G137" s="558">
        <f t="shared" si="13"/>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9</v>
      </c>
      <c r="B138" s="435">
        <v>10</v>
      </c>
      <c r="C138" s="446">
        <v>1</v>
      </c>
      <c r="D138" s="582"/>
      <c r="E138" s="492"/>
      <c r="F138" s="587">
        <f t="shared" si="12"/>
        <v>-0.25</v>
      </c>
      <c r="G138" s="558">
        <f t="shared" si="13"/>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
      <c r="A139" s="437">
        <v>10</v>
      </c>
      <c r="B139" s="435">
        <v>11</v>
      </c>
      <c r="C139" s="446">
        <v>1</v>
      </c>
      <c r="D139" s="582"/>
      <c r="E139" s="492"/>
      <c r="F139" s="587">
        <f t="shared" si="12"/>
        <v>-0.25</v>
      </c>
      <c r="G139" s="558">
        <f t="shared" si="13"/>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
      <c r="A140" s="435">
        <v>11</v>
      </c>
      <c r="B140" s="435">
        <v>12</v>
      </c>
      <c r="C140" s="446">
        <v>1</v>
      </c>
      <c r="D140" s="582"/>
      <c r="E140" s="492"/>
      <c r="F140" s="587">
        <f t="shared" si="12"/>
        <v>-0.25</v>
      </c>
      <c r="G140" s="558">
        <f t="shared" si="13"/>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7">
        <v>12</v>
      </c>
      <c r="B141" s="435">
        <v>13</v>
      </c>
      <c r="C141" s="446">
        <v>1</v>
      </c>
      <c r="D141" s="582"/>
      <c r="E141" s="492"/>
      <c r="F141" s="587">
        <f t="shared" si="12"/>
        <v>-0.25</v>
      </c>
      <c r="G141" s="558">
        <f t="shared" si="13"/>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5">
        <v>13</v>
      </c>
      <c r="B142" s="435">
        <v>14</v>
      </c>
      <c r="C142" s="446">
        <v>1</v>
      </c>
      <c r="D142" s="582"/>
      <c r="E142" s="492"/>
      <c r="F142" s="587">
        <f t="shared" si="12"/>
        <v>-0.25</v>
      </c>
      <c r="G142" s="558">
        <f t="shared" si="13"/>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
      <c r="A143" s="437">
        <v>14</v>
      </c>
      <c r="B143" s="435">
        <v>15</v>
      </c>
      <c r="C143" s="446">
        <v>1</v>
      </c>
      <c r="D143" s="582"/>
      <c r="E143" s="492"/>
      <c r="F143" s="587">
        <f t="shared" si="12"/>
        <v>-0.25</v>
      </c>
      <c r="G143" s="558">
        <f t="shared" si="13"/>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
      <c r="A144" s="435">
        <v>15</v>
      </c>
      <c r="B144" s="435">
        <v>16</v>
      </c>
      <c r="C144" s="446">
        <v>1</v>
      </c>
      <c r="D144" s="582"/>
      <c r="E144" s="492"/>
      <c r="F144" s="587">
        <f t="shared" si="12"/>
        <v>-0.25</v>
      </c>
      <c r="G144" s="558">
        <f t="shared" si="13"/>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
      <c r="A145" s="437">
        <v>16</v>
      </c>
      <c r="B145" s="435">
        <v>17</v>
      </c>
      <c r="C145" s="446">
        <v>1</v>
      </c>
      <c r="D145" s="582"/>
      <c r="E145" s="492"/>
      <c r="F145" s="587">
        <f t="shared" si="12"/>
        <v>-0.25</v>
      </c>
      <c r="G145" s="558">
        <f t="shared" si="13"/>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
      <c r="A146" s="435">
        <v>17</v>
      </c>
      <c r="B146" s="435">
        <v>18</v>
      </c>
      <c r="C146" s="446">
        <v>1</v>
      </c>
      <c r="D146" s="582"/>
      <c r="E146" s="492"/>
      <c r="F146" s="587">
        <f t="shared" si="12"/>
        <v>-0.25</v>
      </c>
      <c r="G146" s="558">
        <f t="shared" si="13"/>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
      <c r="A147" s="437">
        <v>18</v>
      </c>
      <c r="B147" s="435">
        <v>19</v>
      </c>
      <c r="C147" s="446">
        <v>1</v>
      </c>
      <c r="D147" s="582"/>
      <c r="E147" s="492"/>
      <c r="F147" s="587">
        <f t="shared" si="12"/>
        <v>-0.25</v>
      </c>
      <c r="G147" s="558">
        <f t="shared" si="13"/>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
      <c r="A148" s="435">
        <v>19</v>
      </c>
      <c r="B148" s="435">
        <v>20</v>
      </c>
      <c r="C148" s="446">
        <v>1</v>
      </c>
      <c r="D148" s="582"/>
      <c r="E148" s="492"/>
      <c r="F148" s="587">
        <f t="shared" si="12"/>
        <v>-0.25</v>
      </c>
      <c r="G148" s="558">
        <f t="shared" si="13"/>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
      <c r="A149" s="437">
        <v>20</v>
      </c>
      <c r="B149" s="435">
        <v>21</v>
      </c>
      <c r="C149" s="446">
        <v>1</v>
      </c>
      <c r="D149" s="582"/>
      <c r="E149" s="492"/>
      <c r="F149" s="587">
        <f t="shared" si="12"/>
        <v>-0.25</v>
      </c>
      <c r="G149" s="558">
        <f t="shared" si="13"/>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
      <c r="A150" s="435">
        <v>21</v>
      </c>
      <c r="B150" s="435">
        <v>22</v>
      </c>
      <c r="C150" s="446">
        <v>1</v>
      </c>
      <c r="D150" s="582"/>
      <c r="E150" s="492"/>
      <c r="F150" s="587">
        <f t="shared" si="12"/>
        <v>-0.25</v>
      </c>
      <c r="G150" s="558">
        <f t="shared" si="13"/>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22</v>
      </c>
      <c r="B151" s="435">
        <v>23</v>
      </c>
      <c r="C151" s="446">
        <v>1</v>
      </c>
      <c r="D151" s="582"/>
      <c r="E151" s="492"/>
      <c r="F151" s="587">
        <f t="shared" si="12"/>
        <v>-0.25</v>
      </c>
      <c r="G151" s="558">
        <f t="shared" si="13"/>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23</v>
      </c>
      <c r="B152" s="435">
        <v>24</v>
      </c>
      <c r="C152" s="446">
        <v>1</v>
      </c>
      <c r="D152" s="582"/>
      <c r="E152" s="535"/>
      <c r="F152" s="587">
        <f t="shared" si="12"/>
        <v>-0.25</v>
      </c>
      <c r="G152" s="558">
        <f t="shared" si="13"/>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
      <c r="A153" s="370">
        <v>24</v>
      </c>
      <c r="B153" s="435">
        <v>1</v>
      </c>
      <c r="C153" s="446">
        <v>1</v>
      </c>
      <c r="D153" s="582"/>
      <c r="E153" s="488"/>
      <c r="F153" s="587">
        <f t="shared" si="12"/>
        <v>-0.25</v>
      </c>
      <c r="G153" s="558">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
      <c r="A154" s="370"/>
      <c r="B154" s="370"/>
      <c r="C154" s="370"/>
      <c r="D154" s="576"/>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9" activePane="bottomLeft" state="frozen"/>
      <selection pane="bottomLeft" activeCell="Z2" sqref="Z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37241</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8"/>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t="s">
        <v>365</v>
      </c>
      <c r="R2" s="499" t="s">
        <v>365</v>
      </c>
      <c r="S2" s="499" t="s">
        <v>365</v>
      </c>
      <c r="T2" s="499"/>
      <c r="U2" s="499" t="s">
        <v>365</v>
      </c>
      <c r="V2" s="499" t="s">
        <v>365</v>
      </c>
      <c r="W2" s="499" t="s">
        <v>365</v>
      </c>
      <c r="X2" s="499" t="s">
        <v>365</v>
      </c>
      <c r="Y2" s="669"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627</v>
      </c>
      <c r="C4" s="525">
        <v>619</v>
      </c>
      <c r="D4" s="525">
        <v>601</v>
      </c>
      <c r="E4" s="525">
        <v>586</v>
      </c>
      <c r="F4" s="525">
        <v>584</v>
      </c>
      <c r="G4" s="525">
        <v>590</v>
      </c>
      <c r="H4" s="525">
        <v>612</v>
      </c>
      <c r="I4" s="525">
        <v>621</v>
      </c>
      <c r="J4" s="525">
        <v>647</v>
      </c>
      <c r="K4" s="525">
        <v>685</v>
      </c>
      <c r="L4" s="525">
        <v>678</v>
      </c>
      <c r="M4" s="525">
        <v>678</v>
      </c>
      <c r="N4" s="525">
        <v>678</v>
      </c>
      <c r="O4" s="525">
        <v>669</v>
      </c>
      <c r="P4" s="525">
        <v>656</v>
      </c>
      <c r="Q4" s="525">
        <v>652</v>
      </c>
      <c r="R4" s="525">
        <v>664</v>
      </c>
      <c r="S4" s="525">
        <v>809</v>
      </c>
      <c r="T4" s="525">
        <v>865</v>
      </c>
      <c r="U4" s="525">
        <v>859</v>
      </c>
      <c r="V4" s="525">
        <v>856</v>
      </c>
      <c r="W4" s="525">
        <v>817</v>
      </c>
      <c r="X4" s="526">
        <v>732</v>
      </c>
      <c r="Y4" s="526">
        <v>671</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-25</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55</v>
      </c>
      <c r="C22" s="418">
        <f>Deals!G3</f>
        <v>40</v>
      </c>
      <c r="D22" s="418">
        <f>Deals!H3</f>
        <v>40</v>
      </c>
      <c r="E22" s="418">
        <f>Deals!I3</f>
        <v>40</v>
      </c>
      <c r="F22" s="418">
        <f>Deals!J3</f>
        <v>40</v>
      </c>
      <c r="G22" s="418">
        <f>Deals!K3</f>
        <v>40</v>
      </c>
      <c r="H22" s="418">
        <f>Deals!L3</f>
        <v>55</v>
      </c>
      <c r="I22" s="418">
        <f>Deals!M3</f>
        <v>65</v>
      </c>
      <c r="J22" s="418">
        <f>Deals!N3</f>
        <v>65</v>
      </c>
      <c r="K22" s="418">
        <f>Deals!O3</f>
        <v>65</v>
      </c>
      <c r="L22" s="418">
        <f>Deals!P3</f>
        <v>65</v>
      </c>
      <c r="M22" s="418">
        <f>Deals!Q3</f>
        <v>65</v>
      </c>
      <c r="N22" s="418">
        <f>Deals!R3</f>
        <v>65</v>
      </c>
      <c r="O22" s="418">
        <f>Deals!S3</f>
        <v>65</v>
      </c>
      <c r="P22" s="418">
        <f>Deals!T3</f>
        <v>65</v>
      </c>
      <c r="Q22" s="418">
        <f>Deals!U3</f>
        <v>65</v>
      </c>
      <c r="R22" s="418">
        <f>Deals!V3</f>
        <v>65</v>
      </c>
      <c r="S22" s="418">
        <f>Deals!W3</f>
        <v>65</v>
      </c>
      <c r="T22" s="418">
        <f>Deals!X3</f>
        <v>110</v>
      </c>
      <c r="U22" s="418">
        <f>Deals!Y3</f>
        <v>110</v>
      </c>
      <c r="V22" s="418">
        <f>Deals!Z3</f>
        <v>110</v>
      </c>
      <c r="W22" s="418">
        <f>Deals!AA3</f>
        <v>110</v>
      </c>
      <c r="X22" s="418">
        <f>Deals!AB3</f>
        <v>110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4">
        <f t="array" aca="1" ref="B25" ca="1">SUM(IF((DelPoint= "4C")*(DType = "pre")*(OFFSET(DelPoint,0,B3+2)&gt;0),OFFSET(DelPoint,0,B3+2),0))</f>
        <v>0</v>
      </c>
      <c r="C25" s="704">
        <f t="array" aca="1" ref="C25" ca="1">SUM(IF((DelPoint= "4C")*(DType = "pre")*(OFFSET(DelPoint,0,C3+2)&gt;0),OFFSET(DelPoint,0,C3+2),0))</f>
        <v>0</v>
      </c>
      <c r="D25" s="704">
        <f t="array" aca="1" ref="D25" ca="1">SUM(IF((DelPoint= "4C")*(DType = "pre")*(OFFSET(DelPoint,0,D3+2)&gt;0),OFFSET(DelPoint,0,D3+2),0))</f>
        <v>0</v>
      </c>
      <c r="E25" s="704">
        <f t="array" aca="1" ref="E25" ca="1">SUM(IF((DelPoint= "4C")*(DType = "pre")*(OFFSET(DelPoint,0,E3+2)&gt;0),OFFSET(DelPoint,0,E3+2),0))</f>
        <v>0</v>
      </c>
      <c r="F25" s="704">
        <f t="array" aca="1" ref="F25" ca="1">SUM(IF((DelPoint= "4C")*(DType = "pre")*(OFFSET(DelPoint,0,F3+2)&gt;0),OFFSET(DelPoint,0,F3+2),0))</f>
        <v>0</v>
      </c>
      <c r="G25" s="704">
        <f t="array" aca="1" ref="G25" ca="1">SUM(IF((DelPoint= "4C")*(DType = "pre")*(OFFSET(DelPoint,0,G3+2)&gt;0),OFFSET(DelPoint,0,G3+2),0))</f>
        <v>0</v>
      </c>
      <c r="H25" s="704">
        <f t="array" aca="1" ref="H25" ca="1">SUM(IF((DelPoint= "4C")*(DType = "pre")*(OFFSET(DelPoint,0,H3+2)&gt;0),OFFSET(DelPoint,0,H3+2),0))</f>
        <v>0</v>
      </c>
      <c r="I25" s="704">
        <f t="array" aca="1" ref="I25" ca="1">SUM(IF((DelPoint= "4C")*(DType = "pre")*(OFFSET(DelPoint,0,I3+2)&gt;0),OFFSET(DelPoint,0,I3+2),0))</f>
        <v>0</v>
      </c>
      <c r="J25" s="704">
        <f t="array" aca="1" ref="J25" ca="1">SUM(IF((DelPoint= "4C")*(DType = "pre")*(OFFSET(DelPoint,0,J3+2)&gt;0),OFFSET(DelPoint,0,J3+2),0))</f>
        <v>0</v>
      </c>
      <c r="K25" s="704">
        <f t="array" aca="1" ref="K25" ca="1">SUM(IF((DelPoint= "4C")*(DType = "pre")*(OFFSET(DelPoint,0,K3+2)&gt;0),OFFSET(DelPoint,0,K3+2),0))</f>
        <v>0</v>
      </c>
      <c r="L25" s="704">
        <f t="array" aca="1" ref="L25" ca="1">SUM(IF((DelPoint= "4C")*(DType = "pre")*(OFFSET(DelPoint,0,L3+2)&gt;0),OFFSET(DelPoint,0,L3+2),0))</f>
        <v>0</v>
      </c>
      <c r="M25" s="704">
        <f t="array" aca="1" ref="M25" ca="1">SUM(IF((DelPoint= "4C")*(DType = "pre")*(OFFSET(DelPoint,0,M3+2)&gt;0),OFFSET(DelPoint,0,M3+2),0))</f>
        <v>0</v>
      </c>
      <c r="N25" s="704">
        <f t="array" aca="1" ref="N25" ca="1">SUM(IF((DelPoint= "4C")*(DType = "pre")*(OFFSET(DelPoint,0,N3+2)&gt;0),OFFSET(DelPoint,0,N3+2),0))</f>
        <v>0</v>
      </c>
      <c r="O25" s="704">
        <f t="array" aca="1" ref="O25" ca="1">SUM(IF((DelPoint= "4C")*(DType = "pre")*(OFFSET(DelPoint,0,O3+2)&gt;0),OFFSET(DelPoint,0,O3+2),0))</f>
        <v>0</v>
      </c>
      <c r="P25" s="704">
        <f t="array" aca="1" ref="P25" ca="1">SUM(IF((DelPoint= "4C")*(DType = "pre")*(OFFSET(DelPoint,0,P3+2)&gt;0),OFFSET(DelPoint,0,P3+2),0))</f>
        <v>0</v>
      </c>
      <c r="Q25" s="704">
        <f t="array" aca="1" ref="Q25" ca="1">SUM(IF((DelPoint= "4C")*(DType = "pre")*(OFFSET(DelPoint,0,Q3+2)&gt;0),OFFSET(DelPoint,0,Q3+2),0))</f>
        <v>0</v>
      </c>
      <c r="R25" s="704">
        <f t="array" aca="1" ref="R25" ca="1">SUM(IF((DelPoint= "4C")*(DType = "pre")*(OFFSET(DelPoint,0,R3+2)&gt;0),OFFSET(DelPoint,0,R3+2),0))</f>
        <v>0</v>
      </c>
      <c r="S25" s="704">
        <f t="array" aca="1" ref="S25" ca="1">SUM(IF((DelPoint= "4C")*(DType = "pre")*(OFFSET(DelPoint,0,S3+2)&gt;0),OFFSET(DelPoint,0,S3+2),0))</f>
        <v>0</v>
      </c>
      <c r="T25" s="704">
        <f t="array" aca="1" ref="T25" ca="1">SUM(IF((DelPoint= "4C")*(DType = "pre")*(OFFSET(DelPoint,0,T3+2)&gt;0),OFFSET(DelPoint,0,T3+2),0))</f>
        <v>0</v>
      </c>
      <c r="U25" s="704">
        <f t="array" aca="1" ref="U25" ca="1">SUM(IF((DelPoint= "4C")*(DType = "pre")*(OFFSET(DelPoint,0,U3+2)&gt;0),OFFSET(DelPoint,0,U3+2),0))</f>
        <v>0</v>
      </c>
      <c r="V25" s="704">
        <f t="array" aca="1" ref="V25" ca="1">SUM(IF((DelPoint= "4C")*(DType = "pre")*(OFFSET(DelPoint,0,V3+2)&gt;0),OFFSET(DelPoint,0,V3+2),0))</f>
        <v>0</v>
      </c>
      <c r="W25" s="704">
        <f t="array" aca="1" ref="W25" ca="1">SUM(IF((DelPoint= "4C")*(DType = "pre")*(OFFSET(DelPoint,0,W3+2)&gt;0),OFFSET(DelPoint,0,W3+2),0))</f>
        <v>0</v>
      </c>
      <c r="X25" s="704">
        <f t="array" aca="1" ref="X25" ca="1">SUM(IF((DelPoint= "4C")*(DType = "pre")*(OFFSET(DelPoint,0,X3+2)&gt;0),OFFSET(DelPoint,0,X3+2),0))</f>
        <v>0</v>
      </c>
      <c r="Y25" s="70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75</v>
      </c>
      <c r="Z28" s="160"/>
      <c r="AA28" s="162"/>
    </row>
    <row r="29" spans="1:27" s="161" customFormat="1" ht="12" x14ac:dyDescent="0.2">
      <c r="A29" s="506" t="s">
        <v>117</v>
      </c>
      <c r="B29" s="681">
        <f t="array" aca="1" ref="B29" ca="1">SUM(IF((DelPoint= "pv")*(DType = "pre")*(OFFSET(DelPoint,0,B3+2)&gt;0),OFFSET(DelPoint,0,B3+2),0))</f>
        <v>0</v>
      </c>
      <c r="C29" s="681">
        <f t="array" aca="1" ref="C29" ca="1">SUM(IF((DelPoint= "pv")*(DType = "pre")*(OFFSET(DelPoint,0,C3+2)&gt;0),OFFSET(DelPoint,0,C3+2),0))</f>
        <v>0</v>
      </c>
      <c r="D29" s="681">
        <f t="array" aca="1" ref="D29" ca="1">SUM(IF((DelPoint= "pv")*(DType = "pre")*(OFFSET(DelPoint,0,D3+2)&gt;0),OFFSET(DelPoint,0,D3+2),0))</f>
        <v>0</v>
      </c>
      <c r="E29" s="681">
        <f t="array" aca="1" ref="E29" ca="1">SUM(IF((DelPoint= "pv")*(DType = "pre")*(OFFSET(DelPoint,0,E3+2)&gt;0),OFFSET(DelPoint,0,E3+2),0))</f>
        <v>0</v>
      </c>
      <c r="F29" s="681">
        <f t="array" aca="1" ref="F29" ca="1">SUM(IF((DelPoint= "pv")*(DType = "pre")*(OFFSET(DelPoint,0,F3+2)&gt;0),OFFSET(DelPoint,0,F3+2),0))</f>
        <v>0</v>
      </c>
      <c r="G29" s="681">
        <f t="array" aca="1" ref="G29" ca="1">SUM(IF((DelPoint= "pv")*(DType = "pre")*(OFFSET(DelPoint,0,G3+2)&gt;0),OFFSET(DelPoint,0,G3+2),0))</f>
        <v>0</v>
      </c>
      <c r="H29" s="681">
        <f t="array" aca="1" ref="H29" ca="1">SUM(IF((DelPoint= "pv")*(DType = "pre")*(OFFSET(DelPoint,0,H3+2)&gt;0),OFFSET(DelPoint,0,H3+2),0))</f>
        <v>0</v>
      </c>
      <c r="I29" s="681">
        <f t="array" aca="1" ref="I29" ca="1">SUM(IF((DelPoint= "pv")*(DType = "pre")*(OFFSET(DelPoint,0,I3+2)&gt;0),OFFSET(DelPoint,0,I3+2),0))</f>
        <v>0</v>
      </c>
      <c r="J29" s="681">
        <f t="array" aca="1" ref="J29" ca="1">SUM(IF((DelPoint= "pv")*(DType = "pre")*(OFFSET(DelPoint,0,J3+2)&gt;0),OFFSET(DelPoint,0,J3+2),0))</f>
        <v>0</v>
      </c>
      <c r="K29" s="681">
        <f t="array" aca="1" ref="K29" ca="1">SUM(IF((DelPoint= "pv")*(DType = "pre")*(OFFSET(DelPoint,0,K3+2)&gt;0),OFFSET(DelPoint,0,K3+2),0))</f>
        <v>0</v>
      </c>
      <c r="L29" s="681">
        <f t="array" aca="1" ref="L29" ca="1">SUM(IF((DelPoint= "pv")*(DType = "pre")*(OFFSET(DelPoint,0,L3+2)&gt;0),OFFSET(DelPoint,0,L3+2),0))</f>
        <v>0</v>
      </c>
      <c r="M29" s="681">
        <f t="array" aca="1" ref="M29" ca="1">SUM(IF((DelPoint= "pv")*(DType = "pre")*(OFFSET(DelPoint,0,M3+2)&gt;0),OFFSET(DelPoint,0,M3+2),0))</f>
        <v>0</v>
      </c>
      <c r="N29" s="681">
        <f t="array" aca="1" ref="N29" ca="1">SUM(IF((DelPoint= "pv")*(DType = "pre")*(OFFSET(DelPoint,0,N3+2)&gt;0),OFFSET(DelPoint,0,N3+2),0))</f>
        <v>0</v>
      </c>
      <c r="O29" s="681">
        <f t="array" aca="1" ref="O29" ca="1">SUM(IF((DelPoint= "pv")*(DType = "pre")*(OFFSET(DelPoint,0,O3+2)&gt;0),OFFSET(DelPoint,0,O3+2),0))</f>
        <v>0</v>
      </c>
      <c r="P29" s="681">
        <f t="array" aca="1" ref="P29" ca="1">SUM(IF((DelPoint= "pv")*(DType = "pre")*(OFFSET(DelPoint,0,P3+2)&gt;0),OFFSET(DelPoint,0,P3+2),0))</f>
        <v>0</v>
      </c>
      <c r="Q29" s="681">
        <f t="array" aca="1" ref="Q29" ca="1">SUM(IF((DelPoint= "pv")*(DType = "pre")*(OFFSET(DelPoint,0,Q3+2)&gt;0),OFFSET(DelPoint,0,Q3+2),0))</f>
        <v>0</v>
      </c>
      <c r="R29" s="681">
        <f t="array" aca="1" ref="R29" ca="1">SUM(IF((DelPoint= "pv")*(DType = "pre")*(OFFSET(DelPoint,0,R3+2)&gt;0),OFFSET(DelPoint,0,R3+2),0))</f>
        <v>0</v>
      </c>
      <c r="S29" s="681">
        <f t="array" aca="1" ref="S29" ca="1">SUM(IF((DelPoint= "pv")*(DType = "pre")*(OFFSET(DelPoint,0,S3+2)&gt;0),OFFSET(DelPoint,0,S3+2),0))</f>
        <v>0</v>
      </c>
      <c r="T29" s="681">
        <f t="array" aca="1" ref="T29" ca="1">SUM(IF((DelPoint= "pv")*(DType = "pre")*(OFFSET(DelPoint,0,T3+2)&gt;0),OFFSET(DelPoint,0,T3+2),0))</f>
        <v>0</v>
      </c>
      <c r="U29" s="681">
        <f t="array" aca="1" ref="U29" ca="1">SUM(IF((DelPoint= "pv")*(DType = "pre")*(OFFSET(DelPoint,0,U3+2)&gt;0),OFFSET(DelPoint,0,U3+2),0))</f>
        <v>0</v>
      </c>
      <c r="V29" s="681">
        <f t="array" aca="1" ref="V29" ca="1">SUM(IF((DelPoint= "pv")*(DType = "pre")*(OFFSET(DelPoint,0,V3+2)&gt;0),OFFSET(DelPoint,0,V3+2),0))</f>
        <v>0</v>
      </c>
      <c r="W29" s="681">
        <f t="array" aca="1" ref="W29" ca="1">SUM(IF((DelPoint= "pv")*(DType = "pre")*(OFFSET(DelPoint,0,W3+2)&gt;0),OFFSET(DelPoint,0,W3+2),0))</f>
        <v>0</v>
      </c>
      <c r="X29" s="681">
        <f t="array" aca="1" ref="X29" ca="1">SUM(IF((DelPoint= "pv")*(DType = "pre")*(OFFSET(DelPoint,0,X3+2)&gt;0),OFFSET(DelPoint,0,X3+2),0))</f>
        <v>0</v>
      </c>
      <c r="Y29" s="681">
        <f t="array" aca="1" ref="Y29" ca="1">SUM(IF((DelPoint= "pv")*(DType = "pre")*(OFFSET(DelPoint,0,Y3+2)&gt;0),OFFSET(DelPoint,0,Y3+2),0))</f>
        <v>0</v>
      </c>
      <c r="Z29" s="160"/>
      <c r="AA29" s="162"/>
    </row>
    <row r="30" spans="1:27" s="161" customFormat="1" ht="12" x14ac:dyDescent="0.2">
      <c r="A30" s="506" t="s">
        <v>118</v>
      </c>
      <c r="B30" s="705">
        <f t="shared" ref="B30:Y30" ca="1" si="1">SUMIF(OFFSET(PVBalancingVol,B$3,0),"&gt;0")</f>
        <v>0</v>
      </c>
      <c r="C30" s="705">
        <f t="shared" ca="1" si="1"/>
        <v>0</v>
      </c>
      <c r="D30" s="705">
        <f t="shared" ca="1" si="1"/>
        <v>0</v>
      </c>
      <c r="E30" s="705">
        <f t="shared" ca="1" si="1"/>
        <v>0</v>
      </c>
      <c r="F30" s="705">
        <f t="shared" ca="1" si="1"/>
        <v>0</v>
      </c>
      <c r="G30" s="705">
        <f t="shared" ca="1" si="1"/>
        <v>0</v>
      </c>
      <c r="H30" s="705">
        <f t="shared" ca="1" si="1"/>
        <v>0</v>
      </c>
      <c r="I30" s="705">
        <f t="shared" ca="1" si="1"/>
        <v>0</v>
      </c>
      <c r="J30" s="705">
        <f t="shared" ca="1" si="1"/>
        <v>0</v>
      </c>
      <c r="K30" s="705">
        <f t="shared" ca="1" si="1"/>
        <v>0</v>
      </c>
      <c r="L30" s="705">
        <f t="shared" ca="1" si="1"/>
        <v>0</v>
      </c>
      <c r="M30" s="705">
        <f t="shared" ca="1" si="1"/>
        <v>0</v>
      </c>
      <c r="N30" s="705">
        <f t="shared" ca="1" si="1"/>
        <v>0</v>
      </c>
      <c r="O30" s="705">
        <f t="shared" ca="1" si="1"/>
        <v>0</v>
      </c>
      <c r="P30" s="705">
        <f t="shared" ca="1" si="1"/>
        <v>0</v>
      </c>
      <c r="Q30" s="705">
        <f t="shared" ca="1" si="1"/>
        <v>0</v>
      </c>
      <c r="R30" s="705">
        <f t="shared" ca="1" si="1"/>
        <v>0</v>
      </c>
      <c r="S30" s="705">
        <f t="shared" ca="1" si="1"/>
        <v>0</v>
      </c>
      <c r="T30" s="705">
        <f t="shared" ca="1" si="1"/>
        <v>0</v>
      </c>
      <c r="U30" s="705">
        <f t="shared" ca="1" si="1"/>
        <v>0</v>
      </c>
      <c r="V30" s="705">
        <f t="shared" ca="1" si="1"/>
        <v>0</v>
      </c>
      <c r="W30" s="705">
        <f t="shared" ca="1" si="1"/>
        <v>0</v>
      </c>
      <c r="X30" s="705">
        <f t="shared" ca="1" si="1"/>
        <v>0</v>
      </c>
      <c r="Y30" s="705">
        <f t="shared" ca="1" si="1"/>
        <v>0</v>
      </c>
      <c r="Z30" s="160"/>
      <c r="AA30" s="162"/>
    </row>
    <row r="31" spans="1:27" s="161" customFormat="1" ht="12" x14ac:dyDescent="0.2">
      <c r="A31" s="506" t="s">
        <v>303</v>
      </c>
      <c r="B31" s="548">
        <f>SUM(Deals!F8:'Deals'!F22)</f>
        <v>153</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153</v>
      </c>
      <c r="J31" s="548">
        <f>SUM(Deals!N8:'Deals'!N22)</f>
        <v>153</v>
      </c>
      <c r="K31" s="548">
        <f>SUM(Deals!O8:'Deals'!O22)</f>
        <v>153</v>
      </c>
      <c r="L31" s="548">
        <f>SUM(Deals!P8:'Deals'!P22)</f>
        <v>153</v>
      </c>
      <c r="M31" s="548">
        <f>SUM(Deals!Q8:'Deals'!Q22)</f>
        <v>153</v>
      </c>
      <c r="N31" s="548">
        <f>SUM(Deals!R8:'Deals'!R22)</f>
        <v>153</v>
      </c>
      <c r="O31" s="548">
        <f>SUM(Deals!S8:'Deals'!S22)</f>
        <v>153</v>
      </c>
      <c r="P31" s="548">
        <f>SUM(Deals!T8:'Deals'!T22)</f>
        <v>153</v>
      </c>
      <c r="Q31" s="548">
        <f>SUM(Deals!U8:'Deals'!U22)</f>
        <v>153</v>
      </c>
      <c r="R31" s="548">
        <f>SUM(Deals!V8:'Deals'!V22)</f>
        <v>153</v>
      </c>
      <c r="S31" s="548">
        <f>SUM(Deals!W8:'Deals'!W22)</f>
        <v>153</v>
      </c>
      <c r="T31" s="548">
        <f>SUM(Deals!X8:'Deals'!X22)</f>
        <v>153</v>
      </c>
      <c r="U31" s="548">
        <f>SUM(Deals!Y8:'Deals'!Y22)</f>
        <v>153</v>
      </c>
      <c r="V31" s="548">
        <f>SUM(Deals!Z8:'Deals'!Z22)</f>
        <v>153</v>
      </c>
      <c r="W31" s="548">
        <f>SUM(Deals!AA8:'Deals'!AA22)</f>
        <v>153</v>
      </c>
      <c r="X31" s="548">
        <f>SUM(Deals!AB8:'Deals'!AB22)</f>
        <v>153</v>
      </c>
      <c r="Y31" s="548">
        <f>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30</v>
      </c>
      <c r="E32" s="613">
        <f t="array" aca="1" ref="E32" ca="1">SUM(IF((DelPoint= "PV")*IF((DType = "firm")+(DType = "econ")&gt;0,1,0)*(OFFSET(DelPoint,0,E3+2)&gt;0),OFFSET(DelPoint,0,E3+2),0))</f>
        <v>40</v>
      </c>
      <c r="F32" s="613">
        <f t="array" aca="1" ref="F32" ca="1">SUM(IF((DelPoint= "PV")*IF((DType = "firm")+(DType = "econ")&gt;0,1,0)*(OFFSET(DelPoint,0,F3+2)&gt;0),OFFSET(DelPoint,0,F3+2),0))</f>
        <v>40</v>
      </c>
      <c r="G32" s="613">
        <f t="array" aca="1" ref="G32" ca="1">SUM(IF((DelPoint= "PV")*IF((DType = "firm")+(DType = "econ")&gt;0,1,0)*(OFFSET(DelPoint,0,G3+2)&gt;0),OFFSET(DelPoint,0,G3+2),0))</f>
        <v>40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25</v>
      </c>
      <c r="Q32" s="613">
        <f t="array" aca="1" ref="Q32" ca="1">SUM(IF((DelPoint= "PV")*IF((DType = "firm")+(DType = "econ")&gt;0,1,0)*(OFFSET(DelPoint,0,Q3+2)&gt;0),OFFSET(DelPoint,0,Q3+2),0))</f>
        <v>25</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1"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0" t="s">
        <v>121</v>
      </c>
      <c r="B38" s="547">
        <f t="shared" ref="B38:Y38" ca="1" si="4">SUM(B22:B37)+B4+B5</f>
        <v>860</v>
      </c>
      <c r="C38" s="547">
        <f t="shared" ca="1" si="4"/>
        <v>837</v>
      </c>
      <c r="D38" s="547">
        <f t="shared" ca="1" si="4"/>
        <v>849</v>
      </c>
      <c r="E38" s="547">
        <f t="shared" ca="1" si="4"/>
        <v>844</v>
      </c>
      <c r="F38" s="547">
        <f t="shared" ca="1" si="4"/>
        <v>842</v>
      </c>
      <c r="G38" s="547">
        <f t="shared" ca="1" si="4"/>
        <v>848</v>
      </c>
      <c r="H38" s="547">
        <f t="shared" ca="1" si="4"/>
        <v>845</v>
      </c>
      <c r="I38" s="547">
        <f t="shared" ca="1" si="4"/>
        <v>864</v>
      </c>
      <c r="J38" s="547">
        <f t="shared" ca="1" si="4"/>
        <v>890</v>
      </c>
      <c r="K38" s="547">
        <f t="shared" ca="1" si="4"/>
        <v>928</v>
      </c>
      <c r="L38" s="547">
        <f t="shared" ca="1" si="4"/>
        <v>921</v>
      </c>
      <c r="M38" s="547">
        <f t="shared" ca="1" si="4"/>
        <v>921</v>
      </c>
      <c r="N38" s="547">
        <f t="shared" ca="1" si="4"/>
        <v>921</v>
      </c>
      <c r="O38" s="547">
        <f t="shared" ca="1" si="4"/>
        <v>912</v>
      </c>
      <c r="P38" s="547">
        <f t="shared" ca="1" si="4"/>
        <v>924</v>
      </c>
      <c r="Q38" s="547">
        <f t="shared" ca="1" si="4"/>
        <v>920</v>
      </c>
      <c r="R38" s="547">
        <f t="shared" ca="1" si="4"/>
        <v>907</v>
      </c>
      <c r="S38" s="547">
        <f t="shared" ca="1" si="4"/>
        <v>1052</v>
      </c>
      <c r="T38" s="547">
        <f t="shared" ca="1" si="4"/>
        <v>1153</v>
      </c>
      <c r="U38" s="547">
        <f t="shared" ca="1" si="4"/>
        <v>1147</v>
      </c>
      <c r="V38" s="547">
        <f t="shared" ca="1" si="4"/>
        <v>1144</v>
      </c>
      <c r="W38" s="547">
        <f t="shared" ca="1" si="4"/>
        <v>1105</v>
      </c>
      <c r="X38" s="547">
        <f t="shared" ca="1" si="4"/>
        <v>1020</v>
      </c>
      <c r="Y38" s="547">
        <f t="shared" ca="1" si="4"/>
        <v>1004</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f ca="1">-Economics!D34/Economics!I34</f>
        <v>0</v>
      </c>
    </row>
    <row r="42" spans="1:33" s="161" customFormat="1" ht="15" customHeight="1" x14ac:dyDescent="0.2">
      <c r="A42" s="626" t="s">
        <v>130</v>
      </c>
      <c r="B42" s="630">
        <v>32</v>
      </c>
      <c r="C42" s="630">
        <v>30</v>
      </c>
      <c r="D42" s="630">
        <v>30</v>
      </c>
      <c r="E42" s="631">
        <v>32</v>
      </c>
      <c r="F42" s="630">
        <v>30</v>
      </c>
      <c r="G42" s="630">
        <v>31</v>
      </c>
      <c r="H42" s="630">
        <v>32</v>
      </c>
      <c r="I42" s="630">
        <v>32</v>
      </c>
      <c r="J42" s="630">
        <v>32</v>
      </c>
      <c r="K42" s="630">
        <v>32</v>
      </c>
      <c r="L42" s="630">
        <v>30</v>
      </c>
      <c r="M42" s="630">
        <v>32</v>
      </c>
      <c r="N42" s="630">
        <v>32</v>
      </c>
      <c r="O42" s="630">
        <v>30</v>
      </c>
      <c r="P42" s="630">
        <v>30</v>
      </c>
      <c r="Q42" s="630">
        <v>30</v>
      </c>
      <c r="R42" s="630">
        <v>29</v>
      </c>
      <c r="S42" s="630">
        <v>75</v>
      </c>
      <c r="T42" s="630">
        <v>49</v>
      </c>
      <c r="U42" s="630">
        <v>58</v>
      </c>
      <c r="V42" s="630">
        <v>38</v>
      </c>
      <c r="W42" s="630">
        <v>38</v>
      </c>
      <c r="X42" s="630">
        <v>38</v>
      </c>
      <c r="Y42" s="632">
        <v>36</v>
      </c>
      <c r="Z42" s="350">
        <v>78</v>
      </c>
      <c r="AA42" s="210">
        <f ca="1">-Economics!D35/Economics!I35</f>
        <v>9310.3545519770414</v>
      </c>
    </row>
    <row r="43" spans="1:33" s="161" customFormat="1" ht="12.75" customHeight="1" x14ac:dyDescent="0.2">
      <c r="A43" s="627" t="s">
        <v>131</v>
      </c>
      <c r="B43" s="633">
        <v>48</v>
      </c>
      <c r="C43" s="633">
        <v>36</v>
      </c>
      <c r="D43" s="633">
        <v>36</v>
      </c>
      <c r="E43" s="634">
        <v>36</v>
      </c>
      <c r="F43" s="633">
        <v>36</v>
      </c>
      <c r="G43" s="633">
        <v>36</v>
      </c>
      <c r="H43" s="633">
        <v>36</v>
      </c>
      <c r="I43" s="633">
        <v>49</v>
      </c>
      <c r="J43" s="633">
        <v>36</v>
      </c>
      <c r="K43" s="633">
        <v>69</v>
      </c>
      <c r="L43" s="633">
        <v>36</v>
      </c>
      <c r="M43" s="633">
        <v>36</v>
      </c>
      <c r="N43" s="633">
        <v>36</v>
      </c>
      <c r="O43" s="633">
        <v>36</v>
      </c>
      <c r="P43" s="633">
        <v>53</v>
      </c>
      <c r="Q43" s="633">
        <v>50</v>
      </c>
      <c r="R43" s="633">
        <v>35</v>
      </c>
      <c r="S43" s="633">
        <v>100</v>
      </c>
      <c r="T43" s="633">
        <v>85</v>
      </c>
      <c r="U43" s="633">
        <v>99</v>
      </c>
      <c r="V43" s="633">
        <v>64</v>
      </c>
      <c r="W43" s="633">
        <v>54</v>
      </c>
      <c r="X43" s="633">
        <v>37</v>
      </c>
      <c r="Y43" s="635">
        <v>36</v>
      </c>
      <c r="Z43" s="352">
        <v>103</v>
      </c>
      <c r="AA43" s="211">
        <f ca="1">-Economics!D36/Economics!I36</f>
        <v>12428.04727359694</v>
      </c>
    </row>
    <row r="44" spans="1:33" s="161" customFormat="1" ht="12.75" customHeight="1" x14ac:dyDescent="0.2">
      <c r="A44" s="626" t="s">
        <v>49</v>
      </c>
      <c r="B44" s="630">
        <v>17</v>
      </c>
      <c r="C44" s="630">
        <v>17</v>
      </c>
      <c r="D44" s="630">
        <v>17</v>
      </c>
      <c r="E44" s="630">
        <v>17</v>
      </c>
      <c r="F44" s="630">
        <v>17</v>
      </c>
      <c r="G44" s="630">
        <v>17</v>
      </c>
      <c r="H44" s="630">
        <v>17</v>
      </c>
      <c r="I44" s="630">
        <v>17</v>
      </c>
      <c r="J44" s="630">
        <v>17</v>
      </c>
      <c r="K44" s="630">
        <v>17</v>
      </c>
      <c r="L44" s="630">
        <v>17</v>
      </c>
      <c r="M44" s="630">
        <v>17</v>
      </c>
      <c r="N44" s="630">
        <v>17</v>
      </c>
      <c r="O44" s="630">
        <v>17</v>
      </c>
      <c r="P44" s="630">
        <v>17</v>
      </c>
      <c r="Q44" s="630">
        <v>17</v>
      </c>
      <c r="R44" s="630">
        <v>17</v>
      </c>
      <c r="S44" s="630">
        <v>34</v>
      </c>
      <c r="T44" s="630">
        <v>41</v>
      </c>
      <c r="U44" s="630">
        <v>0</v>
      </c>
      <c r="V44" s="630">
        <v>0</v>
      </c>
      <c r="W44" s="630">
        <v>0</v>
      </c>
      <c r="X44" s="630">
        <v>0</v>
      </c>
      <c r="Y44" s="632">
        <v>0</v>
      </c>
      <c r="Z44" s="350">
        <v>40</v>
      </c>
      <c r="AA44" s="210">
        <f ca="1">-Economics!D37/Economics!I37</f>
        <v>6428.4269371811224</v>
      </c>
    </row>
    <row r="45" spans="1:33" s="161" customFormat="1" ht="12.75" customHeight="1" thickBot="1" x14ac:dyDescent="0.25">
      <c r="A45" s="626" t="s">
        <v>50</v>
      </c>
      <c r="B45" s="630">
        <v>14</v>
      </c>
      <c r="C45" s="630">
        <v>14</v>
      </c>
      <c r="D45" s="630">
        <v>14</v>
      </c>
      <c r="E45" s="630">
        <v>14</v>
      </c>
      <c r="F45" s="630">
        <v>14</v>
      </c>
      <c r="G45" s="630">
        <v>14</v>
      </c>
      <c r="H45" s="630">
        <v>14</v>
      </c>
      <c r="I45" s="630">
        <v>14</v>
      </c>
      <c r="J45" s="630">
        <v>14</v>
      </c>
      <c r="K45" s="630">
        <v>14</v>
      </c>
      <c r="L45" s="630">
        <v>14</v>
      </c>
      <c r="M45" s="630">
        <v>14</v>
      </c>
      <c r="N45" s="630">
        <v>14</v>
      </c>
      <c r="O45" s="630">
        <v>14</v>
      </c>
      <c r="P45" s="630">
        <v>14</v>
      </c>
      <c r="Q45" s="630">
        <v>14</v>
      </c>
      <c r="R45" s="630">
        <v>14</v>
      </c>
      <c r="S45" s="630">
        <v>20</v>
      </c>
      <c r="T45" s="630">
        <v>20</v>
      </c>
      <c r="U45" s="630">
        <v>0</v>
      </c>
      <c r="V45" s="630">
        <v>0</v>
      </c>
      <c r="W45" s="630">
        <v>0</v>
      </c>
      <c r="X45" s="630">
        <v>0</v>
      </c>
      <c r="Y45" s="632">
        <v>0</v>
      </c>
      <c r="Z45" s="350">
        <v>40</v>
      </c>
      <c r="AA45" s="210">
        <f ca="1">-Economics!D38/Economics!I38</f>
        <v>5540.0011957908164</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0</v>
      </c>
      <c r="C48" s="633">
        <v>0</v>
      </c>
      <c r="D48" s="633">
        <v>0</v>
      </c>
      <c r="E48" s="633">
        <v>0</v>
      </c>
      <c r="F48" s="633">
        <v>0</v>
      </c>
      <c r="G48" s="633">
        <v>0</v>
      </c>
      <c r="H48" s="633">
        <v>0</v>
      </c>
      <c r="I48" s="633">
        <v>0</v>
      </c>
      <c r="J48" s="633">
        <v>0</v>
      </c>
      <c r="K48" s="633">
        <v>0</v>
      </c>
      <c r="L48" s="633">
        <v>0</v>
      </c>
      <c r="M48" s="633">
        <v>0</v>
      </c>
      <c r="N48" s="633">
        <v>0</v>
      </c>
      <c r="O48" s="633">
        <v>0</v>
      </c>
      <c r="P48" s="633">
        <v>0</v>
      </c>
      <c r="Q48" s="633">
        <v>0</v>
      </c>
      <c r="R48" s="633">
        <v>0</v>
      </c>
      <c r="S48" s="633">
        <v>0</v>
      </c>
      <c r="T48" s="633">
        <v>0</v>
      </c>
      <c r="U48" s="633">
        <v>154</v>
      </c>
      <c r="V48" s="633">
        <v>200</v>
      </c>
      <c r="W48" s="633">
        <v>175</v>
      </c>
      <c r="X48" s="633">
        <v>111</v>
      </c>
      <c r="Y48" s="635">
        <v>106</v>
      </c>
      <c r="Z48" s="352">
        <v>212</v>
      </c>
      <c r="AA48" s="211">
        <f ca="1">-Economics!D41/Economics!I41</f>
        <v>7244.5412149234699</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0</v>
      </c>
    </row>
    <row r="50" spans="1:27" s="161" customFormat="1" ht="12.75" customHeight="1" x14ac:dyDescent="0.2">
      <c r="A50" s="626" t="s">
        <v>134</v>
      </c>
      <c r="B50" s="630">
        <v>27</v>
      </c>
      <c r="C50" s="630">
        <v>27</v>
      </c>
      <c r="D50" s="630">
        <v>28</v>
      </c>
      <c r="E50" s="630">
        <v>27</v>
      </c>
      <c r="F50" s="630">
        <v>27</v>
      </c>
      <c r="G50" s="630">
        <v>28</v>
      </c>
      <c r="H50" s="630">
        <v>28</v>
      </c>
      <c r="I50" s="630">
        <v>28</v>
      </c>
      <c r="J50" s="630">
        <v>28</v>
      </c>
      <c r="K50" s="630">
        <v>27</v>
      </c>
      <c r="L50" s="630">
        <v>27</v>
      </c>
      <c r="M50" s="630">
        <v>27</v>
      </c>
      <c r="N50" s="630">
        <v>28</v>
      </c>
      <c r="O50" s="630">
        <v>27</v>
      </c>
      <c r="P50" s="630">
        <v>27</v>
      </c>
      <c r="Q50" s="630">
        <v>28</v>
      </c>
      <c r="R50" s="630">
        <v>27</v>
      </c>
      <c r="S50" s="630">
        <v>35</v>
      </c>
      <c r="T50" s="630">
        <v>27</v>
      </c>
      <c r="U50" s="630">
        <v>35</v>
      </c>
      <c r="V50" s="630">
        <v>35</v>
      </c>
      <c r="W50" s="630">
        <v>35</v>
      </c>
      <c r="X50" s="630">
        <v>34</v>
      </c>
      <c r="Y50" s="632">
        <v>25</v>
      </c>
      <c r="Z50" s="350">
        <v>48</v>
      </c>
      <c r="AA50" s="210">
        <f ca="1">-Economics!D43/Economics!I43</f>
        <v>8585.7954545454559</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202</v>
      </c>
      <c r="C53" s="630">
        <v>201</v>
      </c>
      <c r="D53" s="630">
        <v>202</v>
      </c>
      <c r="E53" s="630">
        <v>202</v>
      </c>
      <c r="F53" s="630">
        <v>202</v>
      </c>
      <c r="G53" s="630">
        <v>202</v>
      </c>
      <c r="H53" s="630">
        <v>202</v>
      </c>
      <c r="I53" s="630">
        <v>202</v>
      </c>
      <c r="J53" s="630">
        <v>202</v>
      </c>
      <c r="K53" s="630">
        <v>202</v>
      </c>
      <c r="L53" s="630">
        <v>202</v>
      </c>
      <c r="M53" s="630">
        <v>202</v>
      </c>
      <c r="N53" s="630">
        <v>202</v>
      </c>
      <c r="O53" s="630">
        <v>202</v>
      </c>
      <c r="P53" s="630">
        <v>201</v>
      </c>
      <c r="Q53" s="630">
        <v>202</v>
      </c>
      <c r="R53" s="630">
        <v>201</v>
      </c>
      <c r="S53" s="630">
        <v>202</v>
      </c>
      <c r="T53" s="630">
        <v>201</v>
      </c>
      <c r="U53" s="630">
        <v>202</v>
      </c>
      <c r="V53" s="630">
        <v>201</v>
      </c>
      <c r="W53" s="630">
        <v>201</v>
      </c>
      <c r="X53" s="630">
        <v>202</v>
      </c>
      <c r="Y53" s="632">
        <v>202</v>
      </c>
      <c r="Z53" s="350">
        <v>198</v>
      </c>
      <c r="AA53" s="208"/>
    </row>
    <row r="54" spans="1:27" s="161" customFormat="1" ht="12.75" customHeight="1" x14ac:dyDescent="0.2">
      <c r="A54" s="626" t="s">
        <v>127</v>
      </c>
      <c r="B54" s="630">
        <v>202</v>
      </c>
      <c r="C54" s="630">
        <v>201</v>
      </c>
      <c r="D54" s="630">
        <v>202</v>
      </c>
      <c r="E54" s="630">
        <v>202</v>
      </c>
      <c r="F54" s="630">
        <v>202</v>
      </c>
      <c r="G54" s="630">
        <v>202</v>
      </c>
      <c r="H54" s="630">
        <v>202</v>
      </c>
      <c r="I54" s="630">
        <v>202</v>
      </c>
      <c r="J54" s="630">
        <v>202</v>
      </c>
      <c r="K54" s="630">
        <v>202</v>
      </c>
      <c r="L54" s="630">
        <v>202</v>
      </c>
      <c r="M54" s="630">
        <v>202</v>
      </c>
      <c r="N54" s="630">
        <v>202</v>
      </c>
      <c r="O54" s="630">
        <v>202</v>
      </c>
      <c r="P54" s="630">
        <v>201</v>
      </c>
      <c r="Q54" s="630">
        <v>202</v>
      </c>
      <c r="R54" s="630">
        <v>201</v>
      </c>
      <c r="S54" s="630">
        <v>202</v>
      </c>
      <c r="T54" s="630">
        <v>201</v>
      </c>
      <c r="U54" s="630">
        <v>202</v>
      </c>
      <c r="V54" s="630">
        <v>201</v>
      </c>
      <c r="W54" s="630">
        <v>201</v>
      </c>
      <c r="X54" s="630">
        <v>202</v>
      </c>
      <c r="Y54" s="632">
        <v>202</v>
      </c>
      <c r="Z54" s="350">
        <v>198</v>
      </c>
      <c r="AA54" s="208"/>
    </row>
    <row r="55" spans="1:27" s="161" customFormat="1" ht="12.75" customHeight="1" x14ac:dyDescent="0.2">
      <c r="A55" s="626" t="s">
        <v>128</v>
      </c>
      <c r="B55" s="630">
        <v>202</v>
      </c>
      <c r="C55" s="630">
        <v>201</v>
      </c>
      <c r="D55" s="630">
        <v>202</v>
      </c>
      <c r="E55" s="630">
        <v>202</v>
      </c>
      <c r="F55" s="630">
        <v>202</v>
      </c>
      <c r="G55" s="630">
        <v>202</v>
      </c>
      <c r="H55" s="630">
        <v>202</v>
      </c>
      <c r="I55" s="630">
        <v>202</v>
      </c>
      <c r="J55" s="630">
        <v>202</v>
      </c>
      <c r="K55" s="630">
        <v>202</v>
      </c>
      <c r="L55" s="630">
        <v>202</v>
      </c>
      <c r="M55" s="630">
        <v>202</v>
      </c>
      <c r="N55" s="630">
        <v>202</v>
      </c>
      <c r="O55" s="630">
        <v>202</v>
      </c>
      <c r="P55" s="630">
        <v>201</v>
      </c>
      <c r="Q55" s="630">
        <v>202</v>
      </c>
      <c r="R55" s="630">
        <v>201</v>
      </c>
      <c r="S55" s="630">
        <v>202</v>
      </c>
      <c r="T55" s="630">
        <v>201</v>
      </c>
      <c r="U55" s="630">
        <v>202</v>
      </c>
      <c r="V55" s="630">
        <v>201</v>
      </c>
      <c r="W55" s="630">
        <v>201</v>
      </c>
      <c r="X55" s="630">
        <v>202</v>
      </c>
      <c r="Y55" s="632">
        <v>202</v>
      </c>
      <c r="Z55" s="350">
        <v>198</v>
      </c>
      <c r="AA55" s="208"/>
    </row>
    <row r="56" spans="1:27" s="161" customFormat="1" ht="12" customHeight="1" x14ac:dyDescent="0.2">
      <c r="A56" s="626" t="s">
        <v>124</v>
      </c>
      <c r="B56" s="630">
        <v>6</v>
      </c>
      <c r="C56" s="630">
        <v>6</v>
      </c>
      <c r="D56" s="630">
        <v>7</v>
      </c>
      <c r="E56" s="630">
        <v>6</v>
      </c>
      <c r="F56" s="630">
        <v>6</v>
      </c>
      <c r="G56" s="630">
        <v>13</v>
      </c>
      <c r="H56" s="630">
        <v>12</v>
      </c>
      <c r="I56" s="630">
        <v>12</v>
      </c>
      <c r="J56" s="630">
        <v>55</v>
      </c>
      <c r="K56" s="630">
        <v>56</v>
      </c>
      <c r="L56" s="630">
        <v>96</v>
      </c>
      <c r="M56" s="630">
        <v>96</v>
      </c>
      <c r="N56" s="630">
        <v>96</v>
      </c>
      <c r="O56" s="630">
        <v>95</v>
      </c>
      <c r="P56" s="630">
        <v>72</v>
      </c>
      <c r="Q56" s="630">
        <v>72</v>
      </c>
      <c r="R56" s="630">
        <v>71</v>
      </c>
      <c r="S56" s="630">
        <v>80</v>
      </c>
      <c r="T56" s="630">
        <v>95</v>
      </c>
      <c r="U56" s="630">
        <v>96</v>
      </c>
      <c r="V56" s="630">
        <v>96</v>
      </c>
      <c r="W56" s="630">
        <v>95</v>
      </c>
      <c r="X56" s="630">
        <v>96</v>
      </c>
      <c r="Y56" s="632">
        <v>95</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25">
      <c r="A58" s="672" t="s">
        <v>10</v>
      </c>
      <c r="B58" s="673">
        <f ca="1">B59-B38</f>
        <v>-7</v>
      </c>
      <c r="C58" s="673">
        <f t="shared" ref="C58:I58" ca="1" si="5">C59-C38</f>
        <v>-1</v>
      </c>
      <c r="D58" s="673">
        <f t="shared" ca="1" si="5"/>
        <v>-8</v>
      </c>
      <c r="E58" s="673">
        <f t="shared" ca="1" si="5"/>
        <v>-3</v>
      </c>
      <c r="F58" s="673">
        <f t="shared" ca="1" si="5"/>
        <v>-3</v>
      </c>
      <c r="G58" s="673">
        <f t="shared" ca="1" si="5"/>
        <v>0</v>
      </c>
      <c r="H58" s="673">
        <f t="shared" ca="1" si="5"/>
        <v>3</v>
      </c>
      <c r="I58" s="673">
        <f t="shared" ca="1" si="5"/>
        <v>-3</v>
      </c>
      <c r="J58" s="673">
        <f t="shared" ref="J58:Y58" ca="1" si="6">J59-J38</f>
        <v>1</v>
      </c>
      <c r="K58" s="673">
        <f t="shared" ca="1" si="6"/>
        <v>-4</v>
      </c>
      <c r="L58" s="673">
        <f t="shared" ca="1" si="6"/>
        <v>8</v>
      </c>
      <c r="M58" s="673">
        <f t="shared" ca="1" si="6"/>
        <v>10</v>
      </c>
      <c r="N58" s="673">
        <f t="shared" ca="1" si="6"/>
        <v>11</v>
      </c>
      <c r="O58" s="673">
        <f t="shared" ca="1" si="6"/>
        <v>16</v>
      </c>
      <c r="P58" s="673">
        <f t="shared" ca="1" si="6"/>
        <v>-5</v>
      </c>
      <c r="Q58" s="673">
        <f t="shared" ca="1" si="6"/>
        <v>0</v>
      </c>
      <c r="R58" s="673">
        <f t="shared" ca="1" si="6"/>
        <v>-8</v>
      </c>
      <c r="S58" s="673">
        <f t="shared" ca="1" si="6"/>
        <v>1</v>
      </c>
      <c r="T58" s="673">
        <f t="shared" ca="1" si="6"/>
        <v>-105</v>
      </c>
      <c r="U58" s="673">
        <f t="shared" ca="1" si="6"/>
        <v>29</v>
      </c>
      <c r="V58" s="673">
        <f t="shared" ca="1" si="6"/>
        <v>20</v>
      </c>
      <c r="W58" s="673">
        <f t="shared" ca="1" si="6"/>
        <v>-2</v>
      </c>
      <c r="X58" s="673">
        <f t="shared" ca="1" si="6"/>
        <v>5</v>
      </c>
      <c r="Y58" s="673">
        <f t="shared" ca="1" si="6"/>
        <v>3</v>
      </c>
      <c r="Z58" s="351">
        <f>SUM(Z41:Z55)+Z41+Z42+Z43+Z48+Z49+Z50+Z51+Z52</f>
        <v>2416</v>
      </c>
      <c r="AA58" s="209">
        <f ca="1">SUM(AA41:AA55)</f>
        <v>49537.166628014842</v>
      </c>
    </row>
    <row r="59" spans="1:27" s="161" customFormat="1" ht="12" x14ac:dyDescent="0.2">
      <c r="A59" s="564">
        <v>0</v>
      </c>
      <c r="B59" s="565">
        <f t="shared" ref="B59:I59" ca="1" si="7">SUM(B41:B57)-SUM(B7:B20)</f>
        <v>853</v>
      </c>
      <c r="C59" s="565">
        <f t="shared" ca="1" si="7"/>
        <v>836</v>
      </c>
      <c r="D59" s="565">
        <f t="shared" ca="1" si="7"/>
        <v>841</v>
      </c>
      <c r="E59" s="565">
        <f t="shared" ca="1" si="7"/>
        <v>841</v>
      </c>
      <c r="F59" s="565">
        <f t="shared" ca="1" si="7"/>
        <v>839</v>
      </c>
      <c r="G59" s="565">
        <f t="shared" ca="1" si="7"/>
        <v>848</v>
      </c>
      <c r="H59" s="565">
        <f t="shared" ca="1" si="7"/>
        <v>848</v>
      </c>
      <c r="I59" s="565">
        <f t="shared" ca="1" si="7"/>
        <v>861</v>
      </c>
      <c r="J59" s="565">
        <f t="shared" ref="J59:Y59" ca="1" si="8">SUM(J41:J57)-SUM(J7:J20)</f>
        <v>891</v>
      </c>
      <c r="K59" s="565">
        <f t="shared" ca="1" si="8"/>
        <v>924</v>
      </c>
      <c r="L59" s="565">
        <f t="shared" ca="1" si="8"/>
        <v>929</v>
      </c>
      <c r="M59" s="565">
        <f t="shared" ca="1" si="8"/>
        <v>931</v>
      </c>
      <c r="N59" s="565">
        <f t="shared" ca="1" si="8"/>
        <v>932</v>
      </c>
      <c r="O59" s="565">
        <f t="shared" ca="1" si="8"/>
        <v>928</v>
      </c>
      <c r="P59" s="565">
        <f t="shared" ca="1" si="8"/>
        <v>919</v>
      </c>
      <c r="Q59" s="565">
        <f t="shared" ca="1" si="8"/>
        <v>920</v>
      </c>
      <c r="R59" s="565">
        <f t="shared" ca="1" si="8"/>
        <v>899</v>
      </c>
      <c r="S59" s="565">
        <f t="shared" ca="1" si="8"/>
        <v>1053</v>
      </c>
      <c r="T59" s="565">
        <f t="shared" ca="1" si="8"/>
        <v>1048</v>
      </c>
      <c r="U59" s="565">
        <f ca="1">SUM(U41:U57)-SUM(U7:U20)</f>
        <v>1176</v>
      </c>
      <c r="V59" s="565">
        <f t="shared" ca="1" si="8"/>
        <v>1164</v>
      </c>
      <c r="W59" s="565">
        <f t="shared" ca="1" si="8"/>
        <v>1103</v>
      </c>
      <c r="X59" s="565">
        <f t="shared" ca="1" si="8"/>
        <v>1025</v>
      </c>
      <c r="Y59" s="565">
        <f t="shared" ca="1" si="8"/>
        <v>1007</v>
      </c>
      <c r="Z59" s="213">
        <f ca="1">SUM(Economics!D28:D45)</f>
        <v>-205456.57440000001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398</v>
      </c>
      <c r="C62" s="169">
        <f t="shared" ca="1" si="10"/>
        <v>410</v>
      </c>
      <c r="D62" s="169">
        <f t="shared" ca="1" si="10"/>
        <v>383</v>
      </c>
      <c r="E62" s="169">
        <f t="shared" ca="1" si="10"/>
        <v>373</v>
      </c>
      <c r="F62" s="169">
        <f t="shared" ca="1" si="10"/>
        <v>373</v>
      </c>
      <c r="G62" s="169">
        <f t="shared" ca="1" si="10"/>
        <v>373</v>
      </c>
      <c r="H62" s="169">
        <f t="shared" ca="1" si="10"/>
        <v>398</v>
      </c>
      <c r="I62" s="169">
        <f t="shared" ca="1" si="10"/>
        <v>388</v>
      </c>
      <c r="J62" s="169">
        <f t="shared" ca="1" si="10"/>
        <v>388</v>
      </c>
      <c r="K62" s="169">
        <f t="shared" ca="1" si="10"/>
        <v>388</v>
      </c>
      <c r="L62" s="169">
        <f t="shared" ca="1" si="10"/>
        <v>388</v>
      </c>
      <c r="M62" s="169">
        <f t="shared" ca="1" si="10"/>
        <v>388</v>
      </c>
      <c r="N62" s="169">
        <f t="shared" ca="1" si="10"/>
        <v>388</v>
      </c>
      <c r="O62" s="169">
        <f t="shared" ca="1" si="10"/>
        <v>388</v>
      </c>
      <c r="P62" s="169">
        <f t="shared" ca="1" si="10"/>
        <v>360</v>
      </c>
      <c r="Q62" s="169">
        <f t="shared" ca="1" si="10"/>
        <v>363</v>
      </c>
      <c r="R62" s="169">
        <f t="shared" ca="1" si="10"/>
        <v>385</v>
      </c>
      <c r="S62" s="169">
        <f t="shared" ca="1" si="10"/>
        <v>388</v>
      </c>
      <c r="T62" s="169">
        <f t="shared" ca="1" si="10"/>
        <v>365</v>
      </c>
      <c r="U62" s="169">
        <f t="shared" ca="1" si="10"/>
        <v>368</v>
      </c>
      <c r="V62" s="169">
        <f t="shared" ca="1" si="10"/>
        <v>365</v>
      </c>
      <c r="W62" s="169">
        <f t="shared" ca="1" si="10"/>
        <v>340</v>
      </c>
      <c r="X62" s="169">
        <f t="shared" ca="1" si="10"/>
        <v>343</v>
      </c>
      <c r="Y62" s="170">
        <f t="shared" ca="1" si="10"/>
        <v>373</v>
      </c>
      <c r="Z62" s="191"/>
      <c r="AA62" s="162"/>
    </row>
    <row r="63" spans="1:27" s="161" customFormat="1" ht="12" x14ac:dyDescent="0.2">
      <c r="A63" s="193" t="s">
        <v>140</v>
      </c>
      <c r="B63" s="169">
        <f t="shared" ref="B63:L63" ca="1" si="11">-SUM(B8:B10,B25:B28) + SUM(B56:B57)</f>
        <v>6</v>
      </c>
      <c r="C63" s="169">
        <f t="shared" ca="1" si="11"/>
        <v>6</v>
      </c>
      <c r="D63" s="169">
        <f t="shared" ca="1" si="11"/>
        <v>7</v>
      </c>
      <c r="E63" s="169">
        <f t="shared" ca="1" si="11"/>
        <v>6</v>
      </c>
      <c r="F63" s="169">
        <f t="shared" ca="1" si="11"/>
        <v>6</v>
      </c>
      <c r="G63" s="169">
        <f t="shared" ca="1" si="11"/>
        <v>13</v>
      </c>
      <c r="H63" s="169">
        <f t="shared" ca="1" si="11"/>
        <v>12</v>
      </c>
      <c r="I63" s="169">
        <f t="shared" ca="1" si="11"/>
        <v>12</v>
      </c>
      <c r="J63" s="169">
        <f t="shared" ca="1" si="11"/>
        <v>55</v>
      </c>
      <c r="K63" s="169">
        <f t="shared" ca="1" si="11"/>
        <v>56</v>
      </c>
      <c r="L63" s="169">
        <f t="shared" ca="1" si="11"/>
        <v>96</v>
      </c>
      <c r="M63" s="169">
        <f ca="1">-SUM(M8:M10,M25:M28) + SUM(M57:M57)</f>
        <v>0</v>
      </c>
      <c r="N63" s="169">
        <f t="shared" ref="N63:Y63" ca="1" si="12">-SUM(N8:N10,N25:N28) + SUM(N56:N57)</f>
        <v>96</v>
      </c>
      <c r="O63" s="169">
        <f t="shared" ca="1" si="12"/>
        <v>95</v>
      </c>
      <c r="P63" s="169">
        <f t="shared" ca="1" si="12"/>
        <v>72</v>
      </c>
      <c r="Q63" s="169">
        <f t="shared" ca="1" si="12"/>
        <v>72</v>
      </c>
      <c r="R63" s="169">
        <f t="shared" ca="1" si="12"/>
        <v>71</v>
      </c>
      <c r="S63" s="169">
        <f t="shared" ca="1" si="12"/>
        <v>80</v>
      </c>
      <c r="T63" s="169">
        <f t="shared" ca="1" si="12"/>
        <v>95</v>
      </c>
      <c r="U63" s="169">
        <f t="shared" ca="1" si="12"/>
        <v>96</v>
      </c>
      <c r="V63" s="169">
        <f t="shared" ca="1" si="12"/>
        <v>96</v>
      </c>
      <c r="W63" s="169">
        <f t="shared" ca="1" si="12"/>
        <v>95</v>
      </c>
      <c r="X63" s="169">
        <f t="shared" ca="1" si="12"/>
        <v>96</v>
      </c>
      <c r="Y63" s="170">
        <f t="shared" ca="1" si="12"/>
        <v>20</v>
      </c>
      <c r="Z63" s="191"/>
      <c r="AA63" s="162"/>
    </row>
    <row r="64" spans="1:27" s="161" customFormat="1" ht="12" x14ac:dyDescent="0.2">
      <c r="A64" s="193" t="s">
        <v>141</v>
      </c>
      <c r="B64" s="169">
        <f ca="1">IF(B62+B63&gt;645,"err",B62+B63)</f>
        <v>404</v>
      </c>
      <c r="C64" s="169">
        <f t="shared" ref="C64:Y64" ca="1" si="13">IF(C62+C63&gt;645,"err",C62+C63)</f>
        <v>416</v>
      </c>
      <c r="D64" s="169">
        <f t="shared" ca="1" si="13"/>
        <v>390</v>
      </c>
      <c r="E64" s="169">
        <f t="shared" ca="1" si="13"/>
        <v>379</v>
      </c>
      <c r="F64" s="169">
        <f t="shared" ca="1" si="13"/>
        <v>379</v>
      </c>
      <c r="G64" s="169">
        <f t="shared" ca="1" si="13"/>
        <v>386</v>
      </c>
      <c r="H64" s="169">
        <f t="shared" ca="1" si="13"/>
        <v>410</v>
      </c>
      <c r="I64" s="169">
        <f t="shared" ca="1" si="13"/>
        <v>400</v>
      </c>
      <c r="J64" s="169">
        <f t="shared" ca="1" si="13"/>
        <v>443</v>
      </c>
      <c r="K64" s="169">
        <f t="shared" ca="1" si="13"/>
        <v>444</v>
      </c>
      <c r="L64" s="169">
        <f t="shared" ca="1" si="13"/>
        <v>484</v>
      </c>
      <c r="M64" s="169">
        <f t="shared" ca="1" si="13"/>
        <v>388</v>
      </c>
      <c r="N64" s="169">
        <f t="shared" ca="1" si="13"/>
        <v>484</v>
      </c>
      <c r="O64" s="169">
        <f t="shared" ca="1" si="13"/>
        <v>483</v>
      </c>
      <c r="P64" s="169">
        <f t="shared" ca="1" si="13"/>
        <v>432</v>
      </c>
      <c r="Q64" s="169">
        <f t="shared" ca="1" si="13"/>
        <v>435</v>
      </c>
      <c r="R64" s="169">
        <f t="shared" ca="1" si="13"/>
        <v>456</v>
      </c>
      <c r="S64" s="169">
        <f t="shared" ca="1" si="13"/>
        <v>468</v>
      </c>
      <c r="T64" s="169">
        <f t="shared" ca="1" si="13"/>
        <v>460</v>
      </c>
      <c r="U64" s="169">
        <f t="shared" ca="1" si="13"/>
        <v>464</v>
      </c>
      <c r="V64" s="169">
        <f t="shared" ca="1" si="13"/>
        <v>461</v>
      </c>
      <c r="W64" s="169">
        <f t="shared" ca="1" si="13"/>
        <v>435</v>
      </c>
      <c r="X64" s="169">
        <f t="shared" ca="1" si="13"/>
        <v>439</v>
      </c>
      <c r="Y64" s="170">
        <f t="shared" ca="1" si="13"/>
        <v>393</v>
      </c>
      <c r="Z64" s="192"/>
      <c r="AA64" s="162"/>
    </row>
    <row r="65" spans="1:27" s="161" customFormat="1" ht="12" x14ac:dyDescent="0.2">
      <c r="A65" s="193" t="s">
        <v>18</v>
      </c>
      <c r="B65" s="169">
        <f ca="1">SUM(B61:B63)</f>
        <v>507</v>
      </c>
      <c r="C65" s="169">
        <f t="shared" ref="C65:Y65" ca="1" si="14">SUM(C61:C63)</f>
        <v>519</v>
      </c>
      <c r="D65" s="169">
        <f t="shared" ca="1" si="14"/>
        <v>493</v>
      </c>
      <c r="E65" s="169">
        <f t="shared" ca="1" si="14"/>
        <v>482</v>
      </c>
      <c r="F65" s="169">
        <f t="shared" ca="1" si="14"/>
        <v>482</v>
      </c>
      <c r="G65" s="169">
        <f t="shared" ca="1" si="14"/>
        <v>489</v>
      </c>
      <c r="H65" s="169">
        <f t="shared" ca="1" si="14"/>
        <v>513</v>
      </c>
      <c r="I65" s="169">
        <f t="shared" ca="1" si="14"/>
        <v>503</v>
      </c>
      <c r="J65" s="169">
        <f t="shared" ca="1" si="14"/>
        <v>546</v>
      </c>
      <c r="K65" s="169">
        <f t="shared" ca="1" si="14"/>
        <v>547</v>
      </c>
      <c r="L65" s="169">
        <f t="shared" ca="1" si="14"/>
        <v>587</v>
      </c>
      <c r="M65" s="169">
        <f t="shared" ca="1" si="14"/>
        <v>388</v>
      </c>
      <c r="N65" s="169">
        <f t="shared" ca="1" si="14"/>
        <v>587</v>
      </c>
      <c r="O65" s="169">
        <f t="shared" ca="1" si="14"/>
        <v>586</v>
      </c>
      <c r="P65" s="169">
        <f t="shared" ca="1" si="14"/>
        <v>535</v>
      </c>
      <c r="Q65" s="169">
        <f t="shared" ca="1" si="14"/>
        <v>538</v>
      </c>
      <c r="R65" s="169">
        <f t="shared" ca="1" si="14"/>
        <v>559</v>
      </c>
      <c r="S65" s="169">
        <f t="shared" ca="1" si="14"/>
        <v>571</v>
      </c>
      <c r="T65" s="169">
        <f t="shared" ca="1" si="14"/>
        <v>563</v>
      </c>
      <c r="U65" s="169">
        <f t="shared" ca="1" si="14"/>
        <v>567</v>
      </c>
      <c r="V65" s="169">
        <f t="shared" ca="1" si="14"/>
        <v>564</v>
      </c>
      <c r="W65" s="169">
        <f t="shared" ca="1" si="14"/>
        <v>538</v>
      </c>
      <c r="X65" s="169">
        <f t="shared" ca="1" si="14"/>
        <v>542</v>
      </c>
      <c r="Y65" s="170">
        <f t="shared" ca="1" si="14"/>
        <v>496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159</v>
      </c>
      <c r="C67" s="169">
        <f t="array" ref="C67">SUM(IF(C$41:C$55 = 0,0,$Z$41:$Z$55-C$41:C$55))-INDEX(Balancing!$R$4:$R$27,C$3)</f>
        <v>176</v>
      </c>
      <c r="D67" s="169">
        <f t="array" ref="D67">SUM(IF(D$41:D$55 = 0,0,$Z$41:$Z$55-D$41:D$55))-INDEX(Balancing!$R$4:$R$27,D$3)</f>
        <v>172</v>
      </c>
      <c r="E67" s="169">
        <f t="array" ref="E67">SUM(IF(E$41:E$55 = 0,0,$Z$41:$Z$55-E$41:E$55))-INDEX(Balancing!$R$4:$R$27,E$3)</f>
        <v>171</v>
      </c>
      <c r="F67" s="169">
        <f t="array" ref="F67">SUM(IF(F$41:F$55 = 0,0,$Z$41:$Z$55-F$41:F$55))-INDEX(Balancing!$R$4:$R$27,F$3)</f>
        <v>173</v>
      </c>
      <c r="G67" s="169">
        <f t="array" ref="G67">SUM(IF(G$41:G$55 = 0,0,$Z$41:$Z$55-G$41:G$55))-INDEX(Balancing!$R$4:$R$27,G$3)</f>
        <v>171</v>
      </c>
      <c r="H67" s="169">
        <f t="array" ref="H67">SUM(IF(H$41:H$55 = 0,0,$Z$41:$Z$55-H$41:H$55))-INDEX(Balancing!$R$4:$R$27,H$3)</f>
        <v>170</v>
      </c>
      <c r="I67" s="169">
        <f t="array" ref="I67">SUM(IF(I$41:I$55 = 0,0,$Z$41:$Z$55-I$41:I$55))-INDEX(Balancing!$R$4:$R$27,I$3)</f>
        <v>157</v>
      </c>
      <c r="J67" s="169">
        <f t="array" ref="J67">SUM(IF(J$41:J$55 = 0,0,$Z$41:$Z$55-J$41:J$55))-INDEX(Balancing!$R$4:$R$27,J$3)</f>
        <v>170</v>
      </c>
      <c r="K67" s="169">
        <f t="array" ref="K67">SUM(IF(K$41:K$55 = 0,0,$Z$41:$Z$55-K$41:K$55))-INDEX(Balancing!$R$4:$R$27,K$3)</f>
        <v>138</v>
      </c>
      <c r="L67" s="169">
        <f t="array" ref="L67">SUM(IF(L$41:L$55 = 0,0,$Z$41:$Z$55-L$41:L$55))-INDEX(Balancing!$R$4:$R$27,L$3)</f>
        <v>173</v>
      </c>
      <c r="M67" s="169">
        <f t="array" ref="M67">SUM(IF(M$41:M$55 = 0,0,$Z$41:$Z$55-M$41:M$55))-INDEX(Balancing!$R$4:$R$27,M$3)</f>
        <v>171</v>
      </c>
      <c r="N67" s="169">
        <v>179</v>
      </c>
      <c r="O67" s="169">
        <f t="array" ref="O67">SUM(IF(O$41:O$55 = 0,0,$Z$41:$Z$55-O$41:O$55))-INDEX(Balancing!$R$4:$R$27,O$3)</f>
        <v>173</v>
      </c>
      <c r="P67" s="169">
        <f t="array" ref="P67">SUM(IF(P$41:P$55 = 0,0,$Z$41:$Z$55-P$41:P$55))-INDEX(Balancing!$R$4:$R$27,P$3)</f>
        <v>159</v>
      </c>
      <c r="Q67" s="169">
        <f t="array" ref="Q67">SUM(IF(Q$41:Q$55 = 0,0,$Z$41:$Z$55-Q$41:Q$55))-INDEX(Balancing!$R$4:$R$27,Q$3)</f>
        <v>158</v>
      </c>
      <c r="R67" s="169">
        <f t="array" ref="R67">SUM(IF(R$41:R$55 = 0,0,$Z$41:$Z$55-R$41:R$55))-INDEX(Balancing!$R$4:$R$27,R$3)</f>
        <v>178</v>
      </c>
      <c r="S67" s="169">
        <f t="array" ref="S67">SUM(IF(S$41:S$55 = 0,0,$Z$41:$Z$55-S$41:S$55))-INDEX(Balancing!$R$4:$R$27,S$3)</f>
        <v>33</v>
      </c>
      <c r="T67" s="169">
        <f t="array" ref="T67">SUM(IF(T$41:T$55 = 0,0,$Z$41:$Z$55-T$41:T$55))-INDEX(Balancing!$R$4:$R$27,T$3)</f>
        <v>78</v>
      </c>
      <c r="U67" s="169">
        <f t="array" ref="U67">SUM(IF(U$41:U$55 = 0,0,$Z$41:$Z$55-U$41:U$55))-INDEX(Balancing!$R$4:$R$27,U$3)</f>
        <v>83</v>
      </c>
      <c r="V67" s="169">
        <f t="array" ref="V67">SUM(IF(V$41:V$55 = 0,0,$Z$41:$Z$55-V$41:V$55))-INDEX(Balancing!$R$4:$R$27,V$3)</f>
        <v>95</v>
      </c>
      <c r="W67" s="169">
        <f t="array" ref="W67">SUM(IF(W$41:W$55 = 0,0,$Z$41:$Z$55-W$41:W$55))-INDEX(Balancing!$R$4:$R$27,W$3)</f>
        <v>130</v>
      </c>
      <c r="X67" s="169">
        <f t="array" ref="X67">SUM(IF(X$41:X$55 = 0,0,$Z$41:$Z$55-X$41:X$55))-INDEX(Balancing!$R$4:$R$27,X$3)</f>
        <v>209</v>
      </c>
      <c r="Y67" s="170">
        <f t="array" ref="Y67">SUM(IF(Y$41:Y$55 = 0,0,$Z$41:$Z$55-Y$41:Y$55))-INDEX(Balancing!$R$4:$R$27,Y$3)</f>
        <v>226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43</v>
      </c>
      <c r="D69" s="171">
        <f t="shared" si="15"/>
        <v>42</v>
      </c>
      <c r="E69" s="171">
        <f t="shared" si="15"/>
        <v>41</v>
      </c>
      <c r="F69" s="171">
        <f t="shared" si="15"/>
        <v>41</v>
      </c>
      <c r="G69" s="171">
        <f t="shared" si="15"/>
        <v>41</v>
      </c>
      <c r="H69" s="171">
        <f t="shared" ref="H69:X69" si="16">IF(H67&lt;0.07*I4,"err",ROUND(I4*0.07,0))</f>
        <v>43</v>
      </c>
      <c r="I69" s="171">
        <f t="shared" si="16"/>
        <v>45</v>
      </c>
      <c r="J69" s="171">
        <f t="shared" si="16"/>
        <v>48</v>
      </c>
      <c r="K69" s="171">
        <f t="shared" si="16"/>
        <v>47</v>
      </c>
      <c r="L69" s="171">
        <f t="shared" si="16"/>
        <v>47</v>
      </c>
      <c r="M69" s="171">
        <f t="shared" si="16"/>
        <v>47</v>
      </c>
      <c r="N69" s="171">
        <f t="shared" si="16"/>
        <v>47</v>
      </c>
      <c r="O69" s="171">
        <f t="shared" si="16"/>
        <v>46</v>
      </c>
      <c r="P69" s="171">
        <f t="shared" si="16"/>
        <v>46</v>
      </c>
      <c r="Q69" s="171">
        <f t="shared" si="16"/>
        <v>46</v>
      </c>
      <c r="R69" s="171">
        <f t="shared" si="16"/>
        <v>57</v>
      </c>
      <c r="S69" s="171" t="str">
        <f t="shared" si="16"/>
        <v>err</v>
      </c>
      <c r="T69" s="171">
        <f t="shared" si="16"/>
        <v>60</v>
      </c>
      <c r="U69" s="171">
        <f t="shared" si="16"/>
        <v>60</v>
      </c>
      <c r="V69" s="171">
        <f t="shared" si="16"/>
        <v>57</v>
      </c>
      <c r="W69" s="171">
        <f t="shared" si="16"/>
        <v>51</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55</v>
      </c>
      <c r="C78" s="469">
        <f t="shared" ca="1" si="17"/>
        <v>40</v>
      </c>
      <c r="D78" s="469">
        <f t="shared" ca="1" si="17"/>
        <v>40</v>
      </c>
      <c r="E78" s="469">
        <f ca="1">(E22+E25+E29)</f>
        <v>40</v>
      </c>
      <c r="F78" s="469">
        <f t="shared" ca="1" si="17"/>
        <v>40</v>
      </c>
      <c r="G78" s="469">
        <f ca="1">(G22+G25+G29)</f>
        <v>40</v>
      </c>
      <c r="H78" s="469">
        <f ca="1">(H22+H25+H29)</f>
        <v>55</v>
      </c>
      <c r="I78" s="469">
        <f ca="1">(I22+I25+I29)</f>
        <v>65</v>
      </c>
      <c r="J78" s="469">
        <f ca="1">(J22+J25+J29)</f>
        <v>65</v>
      </c>
      <c r="K78" s="469">
        <f t="shared" ca="1" si="17"/>
        <v>65</v>
      </c>
      <c r="L78" s="469">
        <f t="shared" ca="1" si="17"/>
        <v>65</v>
      </c>
      <c r="M78" s="469">
        <f t="shared" ca="1" si="17"/>
        <v>65</v>
      </c>
      <c r="N78" s="469">
        <f t="shared" ca="1" si="17"/>
        <v>65</v>
      </c>
      <c r="O78" s="469">
        <f t="shared" ca="1" si="17"/>
        <v>65</v>
      </c>
      <c r="P78" s="469">
        <f t="shared" ca="1" si="17"/>
        <v>65</v>
      </c>
      <c r="Q78" s="469">
        <f t="shared" ca="1" si="17"/>
        <v>65</v>
      </c>
      <c r="R78" s="469">
        <f t="shared" ca="1" si="17"/>
        <v>65</v>
      </c>
      <c r="S78" s="469">
        <f t="shared" ca="1" si="17"/>
        <v>65</v>
      </c>
      <c r="T78" s="469">
        <f t="shared" ca="1" si="17"/>
        <v>110</v>
      </c>
      <c r="U78" s="469">
        <f t="shared" ca="1" si="17"/>
        <v>110</v>
      </c>
      <c r="V78" s="469">
        <f t="shared" ca="1" si="17"/>
        <v>110</v>
      </c>
      <c r="W78" s="469">
        <f t="shared" ca="1" si="17"/>
        <v>110</v>
      </c>
      <c r="X78" s="469">
        <f t="shared" ca="1" si="17"/>
        <v>110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1655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259096.04442715438</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6</v>
      </c>
      <c r="C89" s="228">
        <f t="shared" si="18"/>
        <v>6</v>
      </c>
      <c r="D89" s="228">
        <f t="shared" si="18"/>
        <v>7</v>
      </c>
      <c r="E89" s="228">
        <f>E56</f>
        <v>6</v>
      </c>
      <c r="F89" s="228">
        <f t="shared" si="18"/>
        <v>6</v>
      </c>
      <c r="G89" s="228">
        <f t="shared" si="18"/>
        <v>13</v>
      </c>
      <c r="H89" s="228">
        <f t="shared" si="18"/>
        <v>12</v>
      </c>
      <c r="I89" s="228">
        <f t="shared" si="18"/>
        <v>12</v>
      </c>
      <c r="J89" s="228">
        <f t="shared" si="18"/>
        <v>55</v>
      </c>
      <c r="K89" s="228">
        <f t="shared" si="18"/>
        <v>56</v>
      </c>
      <c r="L89" s="228">
        <f t="shared" si="18"/>
        <v>96</v>
      </c>
      <c r="M89" s="228">
        <f>M57</f>
        <v>0</v>
      </c>
      <c r="N89" s="228">
        <f t="shared" si="18"/>
        <v>96</v>
      </c>
      <c r="O89" s="228">
        <f t="shared" si="18"/>
        <v>95</v>
      </c>
      <c r="P89" s="228">
        <f t="shared" si="18"/>
        <v>72</v>
      </c>
      <c r="Q89" s="228">
        <f t="shared" si="18"/>
        <v>72</v>
      </c>
      <c r="R89" s="228">
        <f t="shared" si="18"/>
        <v>71</v>
      </c>
      <c r="S89" s="228">
        <f t="shared" si="18"/>
        <v>80</v>
      </c>
      <c r="T89" s="228">
        <f t="shared" si="18"/>
        <v>95</v>
      </c>
      <c r="U89" s="228">
        <f t="shared" si="18"/>
        <v>96</v>
      </c>
      <c r="V89" s="228">
        <f t="shared" si="18"/>
        <v>96</v>
      </c>
      <c r="W89" s="228">
        <f t="shared" si="18"/>
        <v>95</v>
      </c>
      <c r="X89" s="228">
        <f t="shared" si="18"/>
        <v>96</v>
      </c>
      <c r="Y89" s="228">
        <f t="shared" si="18"/>
        <v>95</v>
      </c>
      <c r="Z89" s="257">
        <f t="array" ref="Z89">SUM(B89:Y89*Economics!F$28)</f>
        <v>17441.889920000005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97</v>
      </c>
      <c r="C91" s="206">
        <f t="shared" si="19"/>
        <v>46</v>
      </c>
      <c r="D91" s="206">
        <f t="shared" si="19"/>
        <v>-5</v>
      </c>
      <c r="E91" s="206">
        <f t="shared" si="19"/>
        <v>-4</v>
      </c>
      <c r="F91" s="206">
        <f t="shared" si="19"/>
        <v>-4</v>
      </c>
      <c r="G91" s="206">
        <f t="shared" si="19"/>
        <v>-11</v>
      </c>
      <c r="H91" s="206">
        <f t="shared" si="19"/>
        <v>40</v>
      </c>
      <c r="I91" s="206">
        <f t="shared" si="19"/>
        <v>40</v>
      </c>
      <c r="J91" s="206">
        <f t="shared" si="19"/>
        <v>-3</v>
      </c>
      <c r="K91" s="206">
        <f t="shared" si="19"/>
        <v>-4</v>
      </c>
      <c r="L91" s="206">
        <f t="shared" si="19"/>
        <v>7</v>
      </c>
      <c r="M91" s="206">
        <f t="shared" si="19"/>
        <v>103</v>
      </c>
      <c r="N91" s="206">
        <f t="shared" si="19"/>
        <v>7</v>
      </c>
      <c r="O91" s="206">
        <f t="shared" si="19"/>
        <v>8</v>
      </c>
      <c r="P91" s="206">
        <f t="shared" si="19"/>
        <v>31</v>
      </c>
      <c r="Q91" s="206">
        <f t="shared" si="19"/>
        <v>31</v>
      </c>
      <c r="R91" s="206">
        <f t="shared" si="19"/>
        <v>32</v>
      </c>
      <c r="S91" s="206">
        <f t="shared" si="19"/>
        <v>23</v>
      </c>
      <c r="T91" s="206">
        <f t="shared" si="19"/>
        <v>8</v>
      </c>
      <c r="U91" s="206">
        <f t="shared" si="19"/>
        <v>7</v>
      </c>
      <c r="V91" s="206">
        <f t="shared" si="19"/>
        <v>-44</v>
      </c>
      <c r="W91" s="206">
        <f t="shared" si="19"/>
        <v>-43</v>
      </c>
      <c r="X91" s="206">
        <f t="shared" si="19"/>
        <v>-44</v>
      </c>
      <c r="Y91" s="206">
        <f t="shared" si="19"/>
        <v>-43</v>
      </c>
      <c r="Z91" s="260">
        <f>Z89-Z90</f>
        <v>-3595.5919999999896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202</v>
      </c>
      <c r="R95" s="181">
        <f t="shared" si="22"/>
        <v>201</v>
      </c>
      <c r="S95" s="181">
        <f t="shared" si="22"/>
        <v>202</v>
      </c>
      <c r="T95" s="181">
        <f t="shared" si="22"/>
        <v>201</v>
      </c>
      <c r="U95" s="181">
        <f t="shared" si="22"/>
        <v>202</v>
      </c>
      <c r="V95" s="181">
        <f t="shared" si="22"/>
        <v>201</v>
      </c>
      <c r="W95" s="181">
        <f t="shared" si="22"/>
        <v>201</v>
      </c>
      <c r="X95" s="181">
        <f t="shared" si="22"/>
        <v>202</v>
      </c>
      <c r="Y95" s="181">
        <f t="shared" si="22"/>
        <v>202</v>
      </c>
      <c r="Z95" s="259">
        <f t="array" ref="Z95">SUM(B95:Y95*Economics!F$30)</f>
        <v>29516.831999999991</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-2</v>
      </c>
      <c r="R97" s="206">
        <f t="shared" si="23"/>
        <v>-1</v>
      </c>
      <c r="S97" s="206">
        <f t="shared" si="23"/>
        <v>-2</v>
      </c>
      <c r="T97" s="206">
        <f t="shared" si="23"/>
        <v>-1</v>
      </c>
      <c r="U97" s="206">
        <f t="shared" si="23"/>
        <v>-2</v>
      </c>
      <c r="V97" s="206">
        <f t="shared" si="23"/>
        <v>-1</v>
      </c>
      <c r="W97" s="206">
        <f t="shared" si="23"/>
        <v>-1</v>
      </c>
      <c r="X97" s="206">
        <f t="shared" si="23"/>
        <v>-2</v>
      </c>
      <c r="Y97" s="206">
        <f t="shared" si="23"/>
        <v>-2</v>
      </c>
      <c r="Z97" s="260">
        <f>Z95-Z96</f>
        <v>256.03199999998105</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202</v>
      </c>
      <c r="R98" s="181">
        <f t="shared" si="24"/>
        <v>201</v>
      </c>
      <c r="S98" s="181">
        <f t="shared" si="24"/>
        <v>202</v>
      </c>
      <c r="T98" s="181">
        <f t="shared" si="24"/>
        <v>201</v>
      </c>
      <c r="U98" s="181">
        <f t="shared" si="24"/>
        <v>202</v>
      </c>
      <c r="V98" s="181">
        <f t="shared" si="24"/>
        <v>201</v>
      </c>
      <c r="W98" s="181">
        <f t="shared" si="24"/>
        <v>201</v>
      </c>
      <c r="X98" s="181">
        <f t="shared" si="24"/>
        <v>202</v>
      </c>
      <c r="Y98" s="181">
        <f t="shared" si="24"/>
        <v>202</v>
      </c>
      <c r="Z98" s="259">
        <f t="array" ref="Z98">SUM(B98:Y98*Economics!F$31)</f>
        <v>29516.831999999991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-7</v>
      </c>
      <c r="R100" s="206">
        <f t="shared" si="25"/>
        <v>-6</v>
      </c>
      <c r="S100" s="206">
        <f t="shared" si="25"/>
        <v>-7</v>
      </c>
      <c r="T100" s="206">
        <f t="shared" si="25"/>
        <v>-6</v>
      </c>
      <c r="U100" s="206">
        <f t="shared" si="25"/>
        <v>-7</v>
      </c>
      <c r="V100" s="206">
        <f t="shared" si="25"/>
        <v>-6</v>
      </c>
      <c r="W100" s="206">
        <f t="shared" si="25"/>
        <v>-6</v>
      </c>
      <c r="X100" s="206">
        <f t="shared" si="25"/>
        <v>-7</v>
      </c>
      <c r="Y100" s="206">
        <f t="shared" si="25"/>
        <v>-7</v>
      </c>
      <c r="Z100" s="260">
        <f>Z98-Z99</f>
        <v>1011.9359999999833</v>
      </c>
    </row>
    <row r="101" spans="1:29" x14ac:dyDescent="0.2">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201</v>
      </c>
      <c r="Q101" s="181">
        <f t="shared" si="26"/>
        <v>202</v>
      </c>
      <c r="R101" s="181">
        <f t="shared" si="26"/>
        <v>201</v>
      </c>
      <c r="S101" s="181">
        <f t="shared" si="26"/>
        <v>202</v>
      </c>
      <c r="T101" s="181">
        <f t="shared" si="26"/>
        <v>201</v>
      </c>
      <c r="U101" s="181">
        <f t="shared" si="26"/>
        <v>202</v>
      </c>
      <c r="V101" s="181">
        <f t="shared" si="26"/>
        <v>201</v>
      </c>
      <c r="W101" s="181">
        <f t="shared" si="26"/>
        <v>201</v>
      </c>
      <c r="X101" s="181">
        <f t="shared" si="26"/>
        <v>202</v>
      </c>
      <c r="Y101" s="181">
        <f t="shared" si="26"/>
        <v>202</v>
      </c>
      <c r="Z101" s="259">
        <f t="array" ref="Z101">SUM(B101:Y101*Economics!F$32)</f>
        <v>29516.831999999991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-1</v>
      </c>
      <c r="Q103" s="206">
        <f t="shared" si="27"/>
        <v>-2</v>
      </c>
      <c r="R103" s="206">
        <f t="shared" si="27"/>
        <v>-1</v>
      </c>
      <c r="S103" s="206">
        <f t="shared" si="27"/>
        <v>-2</v>
      </c>
      <c r="T103" s="206">
        <f t="shared" si="27"/>
        <v>-1</v>
      </c>
      <c r="U103" s="206">
        <f t="shared" si="27"/>
        <v>-2</v>
      </c>
      <c r="V103" s="206">
        <f t="shared" si="27"/>
        <v>-1</v>
      </c>
      <c r="W103" s="206">
        <f t="shared" si="27"/>
        <v>-1</v>
      </c>
      <c r="X103" s="206">
        <f t="shared" si="27"/>
        <v>-2</v>
      </c>
      <c r="Y103" s="206">
        <f t="shared" si="27"/>
        <v>-2</v>
      </c>
      <c r="Z103" s="260">
        <f>Z101-Z102</f>
        <v>256.03199999998105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32</v>
      </c>
      <c r="C109" s="181">
        <f t="shared" ref="C109:Y109" si="32">C42</f>
        <v>30</v>
      </c>
      <c r="D109" s="181">
        <f t="shared" si="32"/>
        <v>30</v>
      </c>
      <c r="E109" s="181">
        <f>E42</f>
        <v>32</v>
      </c>
      <c r="F109" s="181">
        <f t="shared" si="32"/>
        <v>30</v>
      </c>
      <c r="G109" s="181">
        <f t="shared" si="32"/>
        <v>31</v>
      </c>
      <c r="H109" s="181">
        <f t="shared" si="32"/>
        <v>32</v>
      </c>
      <c r="I109" s="181">
        <f>I42</f>
        <v>32</v>
      </c>
      <c r="J109" s="181">
        <f t="shared" si="32"/>
        <v>32</v>
      </c>
      <c r="K109" s="181">
        <f t="shared" si="32"/>
        <v>32</v>
      </c>
      <c r="L109" s="181">
        <f t="shared" si="32"/>
        <v>30</v>
      </c>
      <c r="M109" s="181">
        <f t="shared" si="32"/>
        <v>32</v>
      </c>
      <c r="N109" s="181">
        <f t="shared" si="32"/>
        <v>32</v>
      </c>
      <c r="O109" s="181">
        <f t="shared" si="32"/>
        <v>30</v>
      </c>
      <c r="P109" s="181">
        <f t="shared" si="32"/>
        <v>30</v>
      </c>
      <c r="Q109" s="181">
        <f t="shared" si="32"/>
        <v>30</v>
      </c>
      <c r="R109" s="181">
        <f t="shared" si="32"/>
        <v>29</v>
      </c>
      <c r="S109" s="181">
        <f t="shared" si="32"/>
        <v>75</v>
      </c>
      <c r="T109" s="181">
        <f t="shared" si="32"/>
        <v>49</v>
      </c>
      <c r="U109" s="181">
        <f t="shared" si="32"/>
        <v>58</v>
      </c>
      <c r="V109" s="181">
        <f t="shared" si="32"/>
        <v>38</v>
      </c>
      <c r="W109" s="181">
        <f t="shared" si="32"/>
        <v>38</v>
      </c>
      <c r="X109" s="181">
        <f t="shared" si="32"/>
        <v>38</v>
      </c>
      <c r="Y109" s="181">
        <f t="shared" si="32"/>
        <v>36</v>
      </c>
      <c r="Z109" s="219">
        <f>SUM(B109:Y109)</f>
        <v>858</v>
      </c>
      <c r="AA109" s="318" t="s">
        <v>170</v>
      </c>
    </row>
    <row r="110" spans="1:29" x14ac:dyDescent="0.2">
      <c r="A110" s="185">
        <f>Economics!$I35</f>
        <v>1.96</v>
      </c>
      <c r="B110" s="189">
        <f t="shared" ref="B110:Y110" ca="1" si="33">IndGencost(B109,OFFSET(HeatRateStart,1,MATCH($A109,HeatRateNames,0)-1,250,1),$A110)</f>
        <v>21.506541418576244</v>
      </c>
      <c r="C110" s="189">
        <f t="shared" ca="1" si="33"/>
        <v>21.68217375532786</v>
      </c>
      <c r="D110" s="189">
        <f t="shared" ca="1" si="33"/>
        <v>21.68217375532786</v>
      </c>
      <c r="E110" s="189">
        <f ca="1">IndGencost(E109,OFFSET(HeatRateStart,1,MATCH($A109,HeatRateNames,0)-1,250,1),$A110)</f>
        <v>21.506541418576244</v>
      </c>
      <c r="F110" s="189">
        <f t="shared" ca="1" si="33"/>
        <v>21.68217375532786</v>
      </c>
      <c r="G110" s="189">
        <f t="shared" ca="1" si="33"/>
        <v>21.59118971054631</v>
      </c>
      <c r="H110" s="189">
        <f t="shared" ca="1" si="33"/>
        <v>21.506541418576244</v>
      </c>
      <c r="I110" s="189">
        <f t="shared" ca="1" si="33"/>
        <v>21.506541418576244</v>
      </c>
      <c r="J110" s="189">
        <f t="shared" ca="1" si="33"/>
        <v>21.506541418576244</v>
      </c>
      <c r="K110" s="189">
        <f t="shared" ca="1" si="33"/>
        <v>21.506541418576244</v>
      </c>
      <c r="L110" s="189">
        <f t="shared" ca="1" si="33"/>
        <v>21.68217375532786</v>
      </c>
      <c r="M110" s="189">
        <f t="shared" ca="1" si="33"/>
        <v>21.506541418576244</v>
      </c>
      <c r="N110" s="189">
        <f t="shared" ca="1" si="33"/>
        <v>21.506541418576244</v>
      </c>
      <c r="O110" s="189">
        <f t="shared" ca="1" si="33"/>
        <v>21.68217375532786</v>
      </c>
      <c r="P110" s="189">
        <f t="shared" ca="1" si="33"/>
        <v>21.68217375532786</v>
      </c>
      <c r="Q110" s="189">
        <f t="shared" ca="1" si="33"/>
        <v>21.68217375532786</v>
      </c>
      <c r="R110" s="189">
        <f t="shared" ca="1" si="33"/>
        <v>21.780148975625536</v>
      </c>
      <c r="S110" s="189">
        <f t="shared" ca="1" si="33"/>
        <v>20.264113727728525</v>
      </c>
      <c r="T110" s="189">
        <f t="shared" ca="1" si="33"/>
        <v>20.66101240211993</v>
      </c>
      <c r="U110" s="189">
        <f t="shared" ca="1" si="33"/>
        <v>20.455952673990978</v>
      </c>
      <c r="V110" s="189">
        <f t="shared" ca="1" si="33"/>
        <v>21.103691779156737</v>
      </c>
      <c r="W110" s="189">
        <f t="shared" ca="1" si="33"/>
        <v>21.103691779156737</v>
      </c>
      <c r="X110" s="189">
        <f t="shared" ca="1" si="33"/>
        <v>21.103691779156737</v>
      </c>
      <c r="Y110" s="189">
        <f t="shared" ca="1" si="33"/>
        <v>21.220746190791662</v>
      </c>
      <c r="Z110" s="259">
        <f t="array" aca="1" ref="Z110" ca="1">SUM(B109:Y109*B110:Y110)</f>
        <v>18248.293411161801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8.4648291970065515E-2</v>
      </c>
      <c r="C113" s="188">
        <f t="shared" ca="1" si="35"/>
        <v>-9.0984044781549755E-2</v>
      </c>
      <c r="D113" s="188">
        <f t="shared" ca="1" si="35"/>
        <v>-9.0984044781549755E-2</v>
      </c>
      <c r="E113" s="188">
        <f t="shared" ca="1" si="35"/>
        <v>8.4648291970065515E-2</v>
      </c>
      <c r="F113" s="188">
        <f t="shared" ca="1" si="35"/>
        <v>-9.0984044781549755E-2</v>
      </c>
      <c r="G113" s="188">
        <f t="shared" ca="1" si="35"/>
        <v>0</v>
      </c>
      <c r="H113" s="188">
        <f t="shared" ca="1" si="35"/>
        <v>8.4648291970065515E-2</v>
      </c>
      <c r="I113" s="188">
        <f t="shared" ca="1" si="35"/>
        <v>8.4648291970065515E-2</v>
      </c>
      <c r="J113" s="188">
        <f t="shared" ca="1" si="35"/>
        <v>8.4648291970065515E-2</v>
      </c>
      <c r="K113" s="188">
        <f t="shared" ca="1" si="35"/>
        <v>8.4648291970065515E-2</v>
      </c>
      <c r="L113" s="188">
        <f t="shared" ca="1" si="35"/>
        <v>-9.0984044781549755E-2</v>
      </c>
      <c r="M113" s="188">
        <f t="shared" ca="1" si="35"/>
        <v>8.4648291970065515E-2</v>
      </c>
      <c r="N113" s="188">
        <f t="shared" ca="1" si="35"/>
        <v>8.4648291970065515E-2</v>
      </c>
      <c r="O113" s="188">
        <f t="shared" ca="1" si="35"/>
        <v>-9.0984044781549755E-2</v>
      </c>
      <c r="P113" s="188">
        <f t="shared" ca="1" si="35"/>
        <v>-9.0984044781549755E-2</v>
      </c>
      <c r="Q113" s="188">
        <f t="shared" ca="1" si="35"/>
        <v>-9.0984044781549755E-2</v>
      </c>
      <c r="R113" s="188">
        <f t="shared" ca="1" si="35"/>
        <v>-0.18895926507922667</v>
      </c>
      <c r="S113" s="188">
        <f t="shared" ca="1" si="35"/>
        <v>1.3270759828177852</v>
      </c>
      <c r="T113" s="188">
        <f t="shared" ca="1" si="35"/>
        <v>0.93017730842638002</v>
      </c>
      <c r="U113" s="188">
        <f t="shared" ca="1" si="35"/>
        <v>1.1352370365553313</v>
      </c>
      <c r="V113" s="188">
        <f t="shared" ca="1" si="35"/>
        <v>0.48749793138957287</v>
      </c>
      <c r="W113" s="188">
        <f t="shared" ca="1" si="35"/>
        <v>0.48749793138957287</v>
      </c>
      <c r="X113" s="188">
        <f t="shared" ca="1" si="35"/>
        <v>0.48749793138957287</v>
      </c>
      <c r="Y113" s="188">
        <f t="shared" ca="1" si="35"/>
        <v>0.37044351975464807</v>
      </c>
      <c r="Z113" s="260">
        <f ca="1">Z110-Z112</f>
        <v>2184.4482665153373</v>
      </c>
      <c r="AC113" s="174"/>
    </row>
    <row r="114" spans="1:29" x14ac:dyDescent="0.2">
      <c r="A114" s="183" t="str">
        <f>Economics!A36</f>
        <v>Newman 3</v>
      </c>
      <c r="B114" s="181">
        <f t="shared" ref="B114:Y114" si="36">B43</f>
        <v>48</v>
      </c>
      <c r="C114" s="181">
        <f t="shared" si="36"/>
        <v>36</v>
      </c>
      <c r="D114" s="181">
        <f t="shared" si="36"/>
        <v>36</v>
      </c>
      <c r="E114" s="181">
        <f>E43</f>
        <v>36</v>
      </c>
      <c r="F114" s="181">
        <f t="shared" si="36"/>
        <v>36</v>
      </c>
      <c r="G114" s="181">
        <f t="shared" si="36"/>
        <v>36</v>
      </c>
      <c r="H114" s="181">
        <f t="shared" si="36"/>
        <v>36</v>
      </c>
      <c r="I114" s="181">
        <f t="shared" si="36"/>
        <v>49</v>
      </c>
      <c r="J114" s="181">
        <f t="shared" si="36"/>
        <v>36</v>
      </c>
      <c r="K114" s="181">
        <f t="shared" si="36"/>
        <v>69</v>
      </c>
      <c r="L114" s="181">
        <f t="shared" si="36"/>
        <v>36</v>
      </c>
      <c r="M114" s="181">
        <f t="shared" si="36"/>
        <v>36</v>
      </c>
      <c r="N114" s="181">
        <f t="shared" si="36"/>
        <v>36</v>
      </c>
      <c r="O114" s="181">
        <f t="shared" si="36"/>
        <v>36</v>
      </c>
      <c r="P114" s="181">
        <f t="shared" si="36"/>
        <v>53</v>
      </c>
      <c r="Q114" s="181">
        <f t="shared" si="36"/>
        <v>50</v>
      </c>
      <c r="R114" s="181">
        <f t="shared" si="36"/>
        <v>35</v>
      </c>
      <c r="S114" s="181">
        <f t="shared" si="36"/>
        <v>100</v>
      </c>
      <c r="T114" s="181">
        <f t="shared" si="36"/>
        <v>85</v>
      </c>
      <c r="U114" s="181">
        <f t="shared" si="36"/>
        <v>99</v>
      </c>
      <c r="V114" s="181">
        <f t="shared" si="36"/>
        <v>64</v>
      </c>
      <c r="W114" s="181">
        <f t="shared" si="36"/>
        <v>54</v>
      </c>
      <c r="X114" s="181">
        <f t="shared" si="36"/>
        <v>37</v>
      </c>
      <c r="Y114" s="181">
        <f t="shared" si="36"/>
        <v>36</v>
      </c>
      <c r="Z114" s="219">
        <f>SUM(B114:Y114)</f>
        <v>1175</v>
      </c>
      <c r="AA114" s="318" t="s">
        <v>172</v>
      </c>
    </row>
    <row r="115" spans="1:29" x14ac:dyDescent="0.2">
      <c r="A115" s="185">
        <f>Economics!$I36</f>
        <v>1.96</v>
      </c>
      <c r="B115" s="189">
        <f t="shared" ref="B115:Y115" ca="1" si="37">IndGencost(B114,OFFSET(HeatRateStart,1,MATCH($A114,HeatRateNames,0)-1,250,1),$A115)</f>
        <v>20.582532067259152</v>
      </c>
      <c r="C115" s="189">
        <f t="shared" ca="1" si="37"/>
        <v>21.647002643532225</v>
      </c>
      <c r="D115" s="189">
        <f t="shared" ca="1" si="37"/>
        <v>21.647002643532225</v>
      </c>
      <c r="E115" s="189">
        <f ca="1">IndGencost(E114,OFFSET(HeatRateStart,1,MATCH($A114,HeatRateNames,0)-1,250,1),$A115)</f>
        <v>21.647002643532225</v>
      </c>
      <c r="F115" s="189">
        <f t="shared" ca="1" si="37"/>
        <v>21.647002643532225</v>
      </c>
      <c r="G115" s="189">
        <f t="shared" ca="1" si="37"/>
        <v>21.647002643532225</v>
      </c>
      <c r="H115" s="189">
        <f t="shared" ca="1" si="37"/>
        <v>21.647002643532225</v>
      </c>
      <c r="I115" s="189">
        <f t="shared" ca="1" si="37"/>
        <v>20.52412039945564</v>
      </c>
      <c r="J115" s="189">
        <f t="shared" ca="1" si="37"/>
        <v>21.647002643532225</v>
      </c>
      <c r="K115" s="189">
        <f t="shared" ca="1" si="37"/>
        <v>19.866531980860064</v>
      </c>
      <c r="L115" s="189">
        <f t="shared" ca="1" si="37"/>
        <v>21.647002643532225</v>
      </c>
      <c r="M115" s="189">
        <f t="shared" ca="1" si="37"/>
        <v>21.647002643532225</v>
      </c>
      <c r="N115" s="189">
        <f t="shared" ca="1" si="37"/>
        <v>21.647002643532225</v>
      </c>
      <c r="O115" s="189">
        <f t="shared" ca="1" si="37"/>
        <v>21.647002643532225</v>
      </c>
      <c r="P115" s="189">
        <f t="shared" ca="1" si="37"/>
        <v>20.322130961562106</v>
      </c>
      <c r="Q115" s="189">
        <f t="shared" ca="1" si="37"/>
        <v>20.469064398384099</v>
      </c>
      <c r="R115" s="189">
        <f t="shared" ca="1" si="37"/>
        <v>21.778120423861914</v>
      </c>
      <c r="S115" s="189">
        <f t="shared" ca="1" si="37"/>
        <v>19.769932384777071</v>
      </c>
      <c r="T115" s="189">
        <f t="shared" ca="1" si="37"/>
        <v>19.735932148821213</v>
      </c>
      <c r="U115" s="189">
        <f t="shared" ca="1" si="37"/>
        <v>19.764383010931688</v>
      </c>
      <c r="V115" s="189">
        <f t="shared" ca="1" si="37"/>
        <v>19.962539138525727</v>
      </c>
      <c r="W115" s="189">
        <f t="shared" ca="1" si="37"/>
        <v>20.278668542826619</v>
      </c>
      <c r="X115" s="189">
        <f t="shared" ca="1" si="37"/>
        <v>21.524349608112029</v>
      </c>
      <c r="Y115" s="189">
        <f t="shared" ca="1" si="37"/>
        <v>21.647002643532225</v>
      </c>
      <c r="Z115" s="259">
        <f t="array" aca="1" ref="Z115" ca="1">SUM(B114:Y114*B115:Y115)</f>
        <v>24358.972594092371</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-20.582532067259152</v>
      </c>
      <c r="C118" s="188">
        <f t="shared" ca="1" si="39"/>
        <v>-21.647002643532225</v>
      </c>
      <c r="D118" s="188">
        <f t="shared" ca="1" si="39"/>
        <v>-21.647002643532225</v>
      </c>
      <c r="E118" s="188">
        <f t="shared" ca="1" si="39"/>
        <v>-21.647002643532225</v>
      </c>
      <c r="F118" s="188">
        <f t="shared" ca="1" si="39"/>
        <v>-21.647002643532225</v>
      </c>
      <c r="G118" s="188">
        <f t="shared" ca="1" si="39"/>
        <v>-21.647002643532225</v>
      </c>
      <c r="H118" s="188">
        <f t="shared" ca="1" si="39"/>
        <v>-21.647002643532225</v>
      </c>
      <c r="I118" s="188">
        <f t="shared" ca="1" si="39"/>
        <v>-20.52412039945564</v>
      </c>
      <c r="J118" s="188">
        <f t="shared" ca="1" si="39"/>
        <v>-21.647002643532225</v>
      </c>
      <c r="K118" s="188">
        <f t="shared" ca="1" si="39"/>
        <v>-19.866531980860064</v>
      </c>
      <c r="L118" s="188">
        <f t="shared" ca="1" si="39"/>
        <v>-21.647002643532225</v>
      </c>
      <c r="M118" s="188">
        <f t="shared" ca="1" si="39"/>
        <v>-21.647002643532225</v>
      </c>
      <c r="N118" s="188">
        <f t="shared" ca="1" si="39"/>
        <v>-21.647002643532225</v>
      </c>
      <c r="O118" s="188">
        <f t="shared" ca="1" si="39"/>
        <v>-21.647002643532225</v>
      </c>
      <c r="P118" s="188">
        <f t="shared" ca="1" si="39"/>
        <v>-20.322130961562106</v>
      </c>
      <c r="Q118" s="188">
        <f t="shared" ca="1" si="39"/>
        <v>-20.469064398384099</v>
      </c>
      <c r="R118" s="188">
        <f t="shared" ca="1" si="39"/>
        <v>-21.778120423861914</v>
      </c>
      <c r="S118" s="188">
        <f t="shared" ca="1" si="39"/>
        <v>-19.769932384777071</v>
      </c>
      <c r="T118" s="188">
        <f t="shared" ca="1" si="39"/>
        <v>-19.735932148821213</v>
      </c>
      <c r="U118" s="188">
        <f t="shared" ca="1" si="39"/>
        <v>-19.764383010931688</v>
      </c>
      <c r="V118" s="188">
        <f t="shared" ca="1" si="39"/>
        <v>-19.962539138525727</v>
      </c>
      <c r="W118" s="188">
        <f t="shared" ca="1" si="39"/>
        <v>-20.278668542826619</v>
      </c>
      <c r="X118" s="188">
        <f t="shared" ca="1" si="39"/>
        <v>-21.524349608112029</v>
      </c>
      <c r="Y118" s="188">
        <f t="shared" ca="1" si="39"/>
        <v>-21.647002643532225</v>
      </c>
      <c r="Z118" s="260">
        <f ca="1">Z115-Z117</f>
        <v>24358.972594092371</v>
      </c>
    </row>
    <row r="119" spans="1:29" x14ac:dyDescent="0.2">
      <c r="A119" s="183" t="str">
        <f>Economics!A37</f>
        <v>GT 1</v>
      </c>
      <c r="B119" s="181">
        <f t="shared" ref="B119:Y119" si="40">B44</f>
        <v>17</v>
      </c>
      <c r="C119" s="181">
        <f t="shared" si="40"/>
        <v>17</v>
      </c>
      <c r="D119" s="181">
        <f t="shared" si="40"/>
        <v>17</v>
      </c>
      <c r="E119" s="181">
        <f>E44</f>
        <v>17</v>
      </c>
      <c r="F119" s="181">
        <f t="shared" si="40"/>
        <v>17</v>
      </c>
      <c r="G119" s="181">
        <f t="shared" si="40"/>
        <v>17</v>
      </c>
      <c r="H119" s="181">
        <f t="shared" si="40"/>
        <v>17</v>
      </c>
      <c r="I119" s="181">
        <f t="shared" si="40"/>
        <v>17</v>
      </c>
      <c r="J119" s="181">
        <f t="shared" si="40"/>
        <v>17</v>
      </c>
      <c r="K119" s="181">
        <f t="shared" si="40"/>
        <v>17</v>
      </c>
      <c r="L119" s="181">
        <f t="shared" si="40"/>
        <v>17</v>
      </c>
      <c r="M119" s="181">
        <f t="shared" si="40"/>
        <v>17</v>
      </c>
      <c r="N119" s="181">
        <f t="shared" si="40"/>
        <v>17</v>
      </c>
      <c r="O119" s="181">
        <f t="shared" si="40"/>
        <v>17</v>
      </c>
      <c r="P119" s="181">
        <f t="shared" si="40"/>
        <v>17</v>
      </c>
      <c r="Q119" s="181">
        <f t="shared" si="40"/>
        <v>17</v>
      </c>
      <c r="R119" s="181">
        <f t="shared" si="40"/>
        <v>17</v>
      </c>
      <c r="S119" s="181">
        <f t="shared" si="40"/>
        <v>34</v>
      </c>
      <c r="T119" s="181">
        <f t="shared" si="40"/>
        <v>41</v>
      </c>
      <c r="U119" s="181">
        <f t="shared" si="40"/>
        <v>0</v>
      </c>
      <c r="V119" s="181">
        <f t="shared" si="40"/>
        <v>0</v>
      </c>
      <c r="W119" s="181">
        <f t="shared" si="40"/>
        <v>0</v>
      </c>
      <c r="X119" s="181">
        <f t="shared" si="40"/>
        <v>0</v>
      </c>
      <c r="Y119" s="181">
        <f t="shared" si="40"/>
        <v>0</v>
      </c>
      <c r="Z119" s="219">
        <f>SUM(B119:Y119)</f>
        <v>364</v>
      </c>
      <c r="AA119" s="318" t="s">
        <v>174</v>
      </c>
    </row>
    <row r="120" spans="1:29" x14ac:dyDescent="0.2">
      <c r="A120" s="185">
        <f>Economics!$I37</f>
        <v>1.96</v>
      </c>
      <c r="B120" s="189">
        <f t="shared" ref="B120:Y120" ca="1" si="41">IndGencost(B119,OFFSET(HeatRateStart,1,MATCH($A119,HeatRateNames,0)-1,250,1),$A120)</f>
        <v>36.377975759779822</v>
      </c>
      <c r="C120" s="189">
        <f t="shared" ca="1" si="41"/>
        <v>36.377975759779822</v>
      </c>
      <c r="D120" s="189">
        <f t="shared" ca="1" si="41"/>
        <v>36.377975759779822</v>
      </c>
      <c r="E120" s="189">
        <f ca="1">IndGencost(E119,OFFSET(HeatRateStart,1,MATCH($A119,HeatRateNames,0)-1,250,1),$A120)</f>
        <v>36.377975759779822</v>
      </c>
      <c r="F120" s="189">
        <f t="shared" ca="1" si="41"/>
        <v>36.377975759779822</v>
      </c>
      <c r="G120" s="189">
        <f t="shared" ca="1" si="41"/>
        <v>36.377975759779822</v>
      </c>
      <c r="H120" s="189">
        <f t="shared" ca="1" si="41"/>
        <v>36.377975759779822</v>
      </c>
      <c r="I120" s="189">
        <f t="shared" ca="1" si="41"/>
        <v>36.377975759779822</v>
      </c>
      <c r="J120" s="189">
        <f t="shared" ca="1" si="41"/>
        <v>36.377975759779822</v>
      </c>
      <c r="K120" s="189">
        <f t="shared" ca="1" si="41"/>
        <v>36.377975759779822</v>
      </c>
      <c r="L120" s="189">
        <f t="shared" ca="1" si="41"/>
        <v>36.377975759779822</v>
      </c>
      <c r="M120" s="189">
        <f t="shared" ca="1" si="41"/>
        <v>36.377975759779822</v>
      </c>
      <c r="N120" s="189">
        <f t="shared" ca="1" si="41"/>
        <v>36.377975759779822</v>
      </c>
      <c r="O120" s="189">
        <f t="shared" ca="1" si="41"/>
        <v>36.377975759779822</v>
      </c>
      <c r="P120" s="189">
        <f t="shared" ca="1" si="41"/>
        <v>36.377975759779822</v>
      </c>
      <c r="Q120" s="189">
        <f t="shared" ca="1" si="41"/>
        <v>36.377975759779822</v>
      </c>
      <c r="R120" s="189">
        <f t="shared" ca="1" si="41"/>
        <v>36.377975759779822</v>
      </c>
      <c r="S120" s="189">
        <f t="shared" ca="1" si="41"/>
        <v>28.475662940096797</v>
      </c>
      <c r="T120" s="189">
        <f t="shared" ca="1" si="41"/>
        <v>27.275844172813908</v>
      </c>
      <c r="U120" s="189">
        <f t="shared" ca="1" si="41"/>
        <v>0</v>
      </c>
      <c r="V120" s="189">
        <f t="shared" ca="1" si="41"/>
        <v>0</v>
      </c>
      <c r="W120" s="189">
        <f t="shared" ca="1" si="41"/>
        <v>0</v>
      </c>
      <c r="X120" s="189">
        <f t="shared" ca="1" si="41"/>
        <v>0</v>
      </c>
      <c r="Y120" s="189">
        <f t="shared" ca="1" si="41"/>
        <v>0</v>
      </c>
      <c r="Z120" s="259">
        <f t="array" aca="1" ref="Z120" ca="1">SUM(B119:Y119*B120:Y120)</f>
        <v>12599.717145625033</v>
      </c>
      <c r="AA120" s="318" t="s">
        <v>167</v>
      </c>
    </row>
    <row r="121" spans="1:29" x14ac:dyDescent="0.2">
      <c r="A121" s="184" t="s">
        <v>163</v>
      </c>
      <c r="B121" s="186">
        <f t="shared" ref="B121:Y121" si="42">B119</f>
        <v>17</v>
      </c>
      <c r="C121" s="186">
        <f t="shared" si="42"/>
        <v>17</v>
      </c>
      <c r="D121" s="186">
        <f t="shared" si="42"/>
        <v>17</v>
      </c>
      <c r="E121" s="186">
        <f t="shared" si="42"/>
        <v>17</v>
      </c>
      <c r="F121" s="186">
        <f t="shared" si="42"/>
        <v>17</v>
      </c>
      <c r="G121" s="186">
        <f t="shared" si="42"/>
        <v>17</v>
      </c>
      <c r="H121" s="186">
        <f t="shared" si="42"/>
        <v>17</v>
      </c>
      <c r="I121" s="186">
        <f t="shared" si="42"/>
        <v>17</v>
      </c>
      <c r="J121" s="186">
        <f t="shared" si="42"/>
        <v>17</v>
      </c>
      <c r="K121" s="186">
        <f t="shared" si="42"/>
        <v>17</v>
      </c>
      <c r="L121" s="186">
        <f t="shared" si="42"/>
        <v>17</v>
      </c>
      <c r="M121" s="186">
        <f t="shared" si="42"/>
        <v>17</v>
      </c>
      <c r="N121" s="186">
        <f t="shared" si="42"/>
        <v>17</v>
      </c>
      <c r="O121" s="186">
        <f t="shared" si="42"/>
        <v>17</v>
      </c>
      <c r="P121" s="186">
        <f t="shared" si="42"/>
        <v>17</v>
      </c>
      <c r="Q121" s="186">
        <f t="shared" si="42"/>
        <v>17</v>
      </c>
      <c r="R121" s="186">
        <f t="shared" si="42"/>
        <v>17</v>
      </c>
      <c r="S121" s="186">
        <f t="shared" si="42"/>
        <v>34</v>
      </c>
      <c r="T121" s="186">
        <f t="shared" si="42"/>
        <v>41</v>
      </c>
      <c r="U121" s="186">
        <f t="shared" si="42"/>
        <v>0</v>
      </c>
      <c r="V121" s="186">
        <f t="shared" si="42"/>
        <v>0</v>
      </c>
      <c r="W121" s="186">
        <f t="shared" si="42"/>
        <v>0</v>
      </c>
      <c r="X121" s="186">
        <f t="shared" si="42"/>
        <v>0</v>
      </c>
      <c r="Y121" s="186">
        <f t="shared" si="42"/>
        <v>0</v>
      </c>
      <c r="Z121" s="220">
        <f>SUM(B121:Y121)</f>
        <v>364</v>
      </c>
    </row>
    <row r="122" spans="1:29" x14ac:dyDescent="0.2">
      <c r="A122" s="182"/>
      <c r="B122" s="190">
        <f t="shared" ref="B122:Y122" ca="1" si="43">IndGencost(B121,OFFSET(HeatRateStart,1,MATCH($A119,HeatRateNames,0)-1,250,1),$A120)</f>
        <v>36.377975759779822</v>
      </c>
      <c r="C122" s="190">
        <f t="shared" ca="1" si="43"/>
        <v>36.377975759779822</v>
      </c>
      <c r="D122" s="190">
        <f t="shared" ca="1" si="43"/>
        <v>36.377975759779822</v>
      </c>
      <c r="E122" s="190">
        <f ca="1">IndGencost(E121,OFFSET(HeatRateStart,1,MATCH($A119,HeatRateNames,0)-1,250,1),$A120)</f>
        <v>36.377975759779822</v>
      </c>
      <c r="F122" s="190">
        <f t="shared" ca="1" si="43"/>
        <v>36.377975759779822</v>
      </c>
      <c r="G122" s="190">
        <f t="shared" ca="1" si="43"/>
        <v>36.377975759779822</v>
      </c>
      <c r="H122" s="190">
        <f t="shared" ca="1" si="43"/>
        <v>36.377975759779822</v>
      </c>
      <c r="I122" s="190">
        <f t="shared" ca="1" si="43"/>
        <v>36.377975759779822</v>
      </c>
      <c r="J122" s="190">
        <f t="shared" ca="1" si="43"/>
        <v>36.377975759779822</v>
      </c>
      <c r="K122" s="190">
        <f t="shared" ca="1" si="43"/>
        <v>36.377975759779822</v>
      </c>
      <c r="L122" s="190">
        <f t="shared" ca="1" si="43"/>
        <v>36.377975759779822</v>
      </c>
      <c r="M122" s="190">
        <f t="shared" ca="1" si="43"/>
        <v>36.377975759779822</v>
      </c>
      <c r="N122" s="190">
        <f t="shared" ca="1" si="43"/>
        <v>36.377975759779822</v>
      </c>
      <c r="O122" s="190">
        <f t="shared" ca="1" si="43"/>
        <v>36.377975759779822</v>
      </c>
      <c r="P122" s="190">
        <f t="shared" ca="1" si="43"/>
        <v>36.377975759779822</v>
      </c>
      <c r="Q122" s="190">
        <f t="shared" ca="1" si="43"/>
        <v>36.377975759779822</v>
      </c>
      <c r="R122" s="190">
        <f t="shared" ca="1" si="43"/>
        <v>36.377975759779822</v>
      </c>
      <c r="S122" s="190">
        <f t="shared" ca="1" si="43"/>
        <v>28.475662940096797</v>
      </c>
      <c r="T122" s="190">
        <f t="shared" ca="1" si="43"/>
        <v>27.275844172813908</v>
      </c>
      <c r="U122" s="190">
        <f t="shared" ca="1" si="43"/>
        <v>0</v>
      </c>
      <c r="V122" s="190">
        <f t="shared" ca="1" si="43"/>
        <v>0</v>
      </c>
      <c r="W122" s="190">
        <f t="shared" ca="1" si="43"/>
        <v>0</v>
      </c>
      <c r="X122" s="190">
        <f t="shared" ca="1" si="43"/>
        <v>0</v>
      </c>
      <c r="Y122" s="190">
        <f t="shared" ca="1" si="43"/>
        <v>0</v>
      </c>
      <c r="Z122" s="258">
        <f t="array" aca="1" ref="Z122" ca="1">SUM(B121:Y121*B122:Y122)</f>
        <v>12599.717145625033</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14</v>
      </c>
      <c r="N124" s="181">
        <f t="shared" si="45"/>
        <v>14</v>
      </c>
      <c r="O124" s="181">
        <f t="shared" si="45"/>
        <v>14</v>
      </c>
      <c r="P124" s="181">
        <f t="shared" si="45"/>
        <v>14</v>
      </c>
      <c r="Q124" s="181">
        <f t="shared" si="45"/>
        <v>14</v>
      </c>
      <c r="R124" s="181">
        <f t="shared" si="45"/>
        <v>14</v>
      </c>
      <c r="S124" s="181">
        <f t="shared" si="45"/>
        <v>20</v>
      </c>
      <c r="T124" s="181">
        <f t="shared" si="45"/>
        <v>20</v>
      </c>
      <c r="U124" s="181">
        <f t="shared" si="45"/>
        <v>0</v>
      </c>
      <c r="V124" s="181">
        <f t="shared" si="45"/>
        <v>0</v>
      </c>
      <c r="W124" s="181">
        <f t="shared" si="45"/>
        <v>0</v>
      </c>
      <c r="X124" s="181">
        <f t="shared" si="45"/>
        <v>0</v>
      </c>
      <c r="Y124" s="181">
        <f t="shared" si="45"/>
        <v>0</v>
      </c>
      <c r="Z124" s="219">
        <f>SUM(B124:Y124)</f>
        <v>278</v>
      </c>
      <c r="AA124" s="318" t="s">
        <v>174</v>
      </c>
    </row>
    <row r="125" spans="1:29" x14ac:dyDescent="0.2">
      <c r="A125" s="185">
        <f>Economics!$I38</f>
        <v>1.96</v>
      </c>
      <c r="B125" s="189">
        <f t="shared" ref="B125:Y125" ca="1" si="46">IndGencost(B124,OFFSET(HeatRateStart,1,MATCH($A124,HeatRateNames,0)-1,250,1),$A125)</f>
        <v>39.920896056970051</v>
      </c>
      <c r="C125" s="189">
        <f t="shared" ca="1" si="46"/>
        <v>39.920896056970051</v>
      </c>
      <c r="D125" s="189">
        <f t="shared" ca="1" si="46"/>
        <v>39.920896056970051</v>
      </c>
      <c r="E125" s="189">
        <f ca="1">IndGencost(E124,OFFSET(HeatRateStart,1,MATCH($A124,HeatRateNames,0)-1,250,1),$A125)</f>
        <v>39.920896056970051</v>
      </c>
      <c r="F125" s="189">
        <f t="shared" ca="1" si="46"/>
        <v>39.920896056970051</v>
      </c>
      <c r="G125" s="189">
        <f t="shared" ca="1" si="46"/>
        <v>39.920896056970051</v>
      </c>
      <c r="H125" s="189">
        <f t="shared" ca="1" si="46"/>
        <v>39.920896056970051</v>
      </c>
      <c r="I125" s="189">
        <f t="shared" ca="1" si="46"/>
        <v>39.920896056970051</v>
      </c>
      <c r="J125" s="189">
        <f t="shared" ca="1" si="46"/>
        <v>39.920896056970051</v>
      </c>
      <c r="K125" s="189">
        <f t="shared" ca="1" si="46"/>
        <v>39.920896056970051</v>
      </c>
      <c r="L125" s="189">
        <f t="shared" ca="1" si="46"/>
        <v>39.920896056970051</v>
      </c>
      <c r="M125" s="189">
        <f t="shared" ca="1" si="46"/>
        <v>39.920896056970051</v>
      </c>
      <c r="N125" s="189">
        <f t="shared" ca="1" si="46"/>
        <v>39.920896056970051</v>
      </c>
      <c r="O125" s="189">
        <f t="shared" ca="1" si="46"/>
        <v>39.920896056970051</v>
      </c>
      <c r="P125" s="189">
        <f t="shared" ca="1" si="46"/>
        <v>39.920896056970051</v>
      </c>
      <c r="Q125" s="189">
        <f t="shared" ca="1" si="46"/>
        <v>39.920896056970051</v>
      </c>
      <c r="R125" s="189">
        <f t="shared" ca="1" si="46"/>
        <v>39.920896056970051</v>
      </c>
      <c r="S125" s="189">
        <f t="shared" ca="1" si="46"/>
        <v>33.930736660385129</v>
      </c>
      <c r="T125" s="189">
        <f t="shared" ca="1" si="46"/>
        <v>33.930736660385129</v>
      </c>
      <c r="U125" s="189">
        <f t="shared" ca="1" si="46"/>
        <v>0</v>
      </c>
      <c r="V125" s="189">
        <f t="shared" ca="1" si="46"/>
        <v>0</v>
      </c>
      <c r="W125" s="189">
        <f t="shared" ca="1" si="46"/>
        <v>0</v>
      </c>
      <c r="X125" s="189">
        <f t="shared" ca="1" si="46"/>
        <v>0</v>
      </c>
      <c r="Y125" s="189">
        <f t="shared" ca="1" si="46"/>
        <v>0</v>
      </c>
      <c r="Z125" s="259">
        <f t="array" aca="1" ref="Z125" ca="1">SUM(B124:Y124*B125:Y125)</f>
        <v>10858.402727974277</v>
      </c>
      <c r="AA125" s="318" t="s">
        <v>167</v>
      </c>
    </row>
    <row r="126" spans="1:29" x14ac:dyDescent="0.2">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14</v>
      </c>
      <c r="N126" s="186">
        <f t="shared" si="47"/>
        <v>14</v>
      </c>
      <c r="O126" s="186">
        <f t="shared" si="47"/>
        <v>14</v>
      </c>
      <c r="P126" s="186">
        <f t="shared" si="47"/>
        <v>14</v>
      </c>
      <c r="Q126" s="186">
        <f t="shared" si="47"/>
        <v>14</v>
      </c>
      <c r="R126" s="186">
        <f t="shared" si="47"/>
        <v>14</v>
      </c>
      <c r="S126" s="186">
        <f t="shared" si="47"/>
        <v>20</v>
      </c>
      <c r="T126" s="186">
        <f t="shared" si="47"/>
        <v>20</v>
      </c>
      <c r="U126" s="186">
        <f t="shared" si="47"/>
        <v>0</v>
      </c>
      <c r="V126" s="186">
        <f t="shared" si="47"/>
        <v>0</v>
      </c>
      <c r="W126" s="186">
        <f t="shared" si="47"/>
        <v>0</v>
      </c>
      <c r="X126" s="186">
        <f t="shared" si="47"/>
        <v>0</v>
      </c>
      <c r="Y126" s="186">
        <f t="shared" si="47"/>
        <v>0</v>
      </c>
      <c r="Z126" s="220">
        <f>SUM(B126:Y126)</f>
        <v>278</v>
      </c>
    </row>
    <row r="127" spans="1:29" x14ac:dyDescent="0.2">
      <c r="A127" s="182"/>
      <c r="B127" s="190">
        <f t="shared" ref="B127:Y127" ca="1" si="48">IndGencost(B126,OFFSET(HeatRateStart,1,MATCH($A124,HeatRateNames,0)-1,250,1),$A125)</f>
        <v>39.920896056970051</v>
      </c>
      <c r="C127" s="190">
        <f t="shared" ca="1" si="48"/>
        <v>39.920896056970051</v>
      </c>
      <c r="D127" s="190">
        <f t="shared" ca="1" si="48"/>
        <v>39.920896056970051</v>
      </c>
      <c r="E127" s="190">
        <f ca="1">IndGencost(E126,OFFSET(HeatRateStart,1,MATCH($A124,HeatRateNames,0)-1,250,1),$A125)</f>
        <v>39.920896056970051</v>
      </c>
      <c r="F127" s="190">
        <f t="shared" ca="1" si="48"/>
        <v>39.920896056970051</v>
      </c>
      <c r="G127" s="190">
        <f t="shared" ca="1" si="48"/>
        <v>39.920896056970051</v>
      </c>
      <c r="H127" s="190">
        <f t="shared" ca="1" si="48"/>
        <v>39.920896056970051</v>
      </c>
      <c r="I127" s="190">
        <f t="shared" ca="1" si="48"/>
        <v>39.920896056970051</v>
      </c>
      <c r="J127" s="190">
        <f t="shared" ca="1" si="48"/>
        <v>39.920896056970051</v>
      </c>
      <c r="K127" s="190">
        <f t="shared" ca="1" si="48"/>
        <v>39.920896056970051</v>
      </c>
      <c r="L127" s="190">
        <f t="shared" ca="1" si="48"/>
        <v>39.920896056970051</v>
      </c>
      <c r="M127" s="190">
        <f t="shared" ca="1" si="48"/>
        <v>39.920896056970051</v>
      </c>
      <c r="N127" s="190">
        <f t="shared" ca="1" si="48"/>
        <v>39.920896056970051</v>
      </c>
      <c r="O127" s="190">
        <f t="shared" ca="1" si="48"/>
        <v>39.920896056970051</v>
      </c>
      <c r="P127" s="190">
        <f t="shared" ca="1" si="48"/>
        <v>39.920896056970051</v>
      </c>
      <c r="Q127" s="190">
        <f t="shared" ca="1" si="48"/>
        <v>39.920896056970051</v>
      </c>
      <c r="R127" s="190">
        <f t="shared" ca="1" si="48"/>
        <v>39.920896056970051</v>
      </c>
      <c r="S127" s="190">
        <f t="shared" ca="1" si="48"/>
        <v>33.930736660385129</v>
      </c>
      <c r="T127" s="190">
        <f t="shared" ca="1" si="48"/>
        <v>33.930736660385129</v>
      </c>
      <c r="U127" s="190">
        <f t="shared" ca="1" si="48"/>
        <v>0</v>
      </c>
      <c r="V127" s="190">
        <f t="shared" ca="1" si="48"/>
        <v>0</v>
      </c>
      <c r="W127" s="190">
        <f t="shared" ca="1" si="48"/>
        <v>0</v>
      </c>
      <c r="X127" s="190">
        <f t="shared" ca="1" si="48"/>
        <v>0</v>
      </c>
      <c r="Y127" s="190">
        <f t="shared" ca="1" si="48"/>
        <v>0</v>
      </c>
      <c r="Z127" s="258">
        <f t="array" aca="1" ref="Z127" ca="1">SUM(B126:Y126*B127:Y127)</f>
        <v>10858.402727974277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154</v>
      </c>
      <c r="V139" s="181">
        <f t="shared" si="59"/>
        <v>200</v>
      </c>
      <c r="W139" s="181">
        <f t="shared" si="59"/>
        <v>175</v>
      </c>
      <c r="X139" s="181">
        <f t="shared" si="59"/>
        <v>111</v>
      </c>
      <c r="Y139" s="181">
        <f t="shared" si="59"/>
        <v>106</v>
      </c>
      <c r="Z139" s="219">
        <f>SUM(B139:Y139)</f>
        <v>746</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18.78467299069213</v>
      </c>
      <c r="V140" s="189">
        <f t="shared" ca="1" si="60"/>
        <v>18.074787151784896</v>
      </c>
      <c r="W140" s="189">
        <f t="shared" ca="1" si="60"/>
        <v>18.371352307556865</v>
      </c>
      <c r="X140" s="189">
        <f t="shared" ca="1" si="60"/>
        <v>20.473879141126453</v>
      </c>
      <c r="Y140" s="189">
        <f t="shared" ca="1" si="60"/>
        <v>20.791654728662589</v>
      </c>
      <c r="Z140" s="259">
        <f t="array" aca="1" ref="Z140" ca="1">SUM(B139:Y139*B140:Y140)</f>
        <v>14199.299710649291</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-0.55317195666796337</v>
      </c>
      <c r="V143" s="188">
        <f t="shared" ca="1" si="62"/>
        <v>0.37897621090532851</v>
      </c>
      <c r="W143" s="188">
        <f t="shared" ca="1" si="62"/>
        <v>0.17415464520771096</v>
      </c>
      <c r="X143" s="188">
        <f t="shared" ca="1" si="62"/>
        <v>-1.4487637856731475</v>
      </c>
      <c r="Y143" s="188">
        <f t="shared" ca="1" si="62"/>
        <v>-1.7665393732092838</v>
      </c>
      <c r="Z143" s="260">
        <f ca="1">Z140-Z142</f>
        <v>-47514.763786375537</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27</v>
      </c>
      <c r="C149" s="181">
        <f t="shared" si="68"/>
        <v>27</v>
      </c>
      <c r="D149" s="181">
        <f t="shared" si="68"/>
        <v>28</v>
      </c>
      <c r="E149" s="181">
        <f>E50</f>
        <v>27</v>
      </c>
      <c r="F149" s="181">
        <f t="shared" si="68"/>
        <v>27</v>
      </c>
      <c r="G149" s="181">
        <f t="shared" si="68"/>
        <v>28</v>
      </c>
      <c r="H149" s="181">
        <f t="shared" si="68"/>
        <v>28</v>
      </c>
      <c r="I149" s="181">
        <f t="shared" si="68"/>
        <v>28</v>
      </c>
      <c r="J149" s="181">
        <f t="shared" si="68"/>
        <v>28</v>
      </c>
      <c r="K149" s="181">
        <f t="shared" si="68"/>
        <v>27</v>
      </c>
      <c r="L149" s="181">
        <f t="shared" si="68"/>
        <v>27</v>
      </c>
      <c r="M149" s="181">
        <f t="shared" si="68"/>
        <v>27</v>
      </c>
      <c r="N149" s="181">
        <f t="shared" si="68"/>
        <v>28</v>
      </c>
      <c r="O149" s="181">
        <f t="shared" si="68"/>
        <v>27</v>
      </c>
      <c r="P149" s="181">
        <f t="shared" si="68"/>
        <v>27</v>
      </c>
      <c r="Q149" s="181">
        <f t="shared" si="68"/>
        <v>28</v>
      </c>
      <c r="R149" s="181">
        <f t="shared" si="68"/>
        <v>27</v>
      </c>
      <c r="S149" s="181">
        <f t="shared" si="68"/>
        <v>35</v>
      </c>
      <c r="T149" s="181">
        <f t="shared" si="68"/>
        <v>27</v>
      </c>
      <c r="U149" s="181">
        <f t="shared" si="68"/>
        <v>35</v>
      </c>
      <c r="V149" s="181">
        <f t="shared" si="68"/>
        <v>35</v>
      </c>
      <c r="W149" s="181">
        <f t="shared" si="68"/>
        <v>35</v>
      </c>
      <c r="X149" s="181">
        <f t="shared" si="68"/>
        <v>34</v>
      </c>
      <c r="Y149" s="181">
        <f t="shared" si="68"/>
        <v>25</v>
      </c>
      <c r="Z149" s="219">
        <f>SUM(B149:Y149)</f>
        <v>692</v>
      </c>
      <c r="AA149" s="318" t="s">
        <v>178</v>
      </c>
    </row>
    <row r="150" spans="1:27" x14ac:dyDescent="0.2">
      <c r="A150" s="185">
        <f>Economics!$I43</f>
        <v>2.09</v>
      </c>
      <c r="B150" s="189">
        <f t="shared" ref="B150:Y150" ca="1" si="69">IndGencost(B149,OFFSET(HeatRateStart,1,MATCH($A149,HeatRateNames,0)-1,250,1),$A150)</f>
        <v>26.095054879086852</v>
      </c>
      <c r="C150" s="189">
        <f t="shared" ca="1" si="69"/>
        <v>26.095054879086852</v>
      </c>
      <c r="D150" s="189">
        <f t="shared" ca="1" si="69"/>
        <v>25.98161358729056</v>
      </c>
      <c r="E150" s="189">
        <f ca="1">IndGencost(E149,OFFSET(HeatRateStart,1,MATCH($A149,HeatRateNames,0)-1,250,1),$A150)</f>
        <v>26.095054879086852</v>
      </c>
      <c r="F150" s="189">
        <f t="shared" ca="1" si="69"/>
        <v>26.095054879086852</v>
      </c>
      <c r="G150" s="189">
        <f t="shared" ca="1" si="69"/>
        <v>25.98161358729056</v>
      </c>
      <c r="H150" s="189">
        <f t="shared" ca="1" si="69"/>
        <v>25.98161358729056</v>
      </c>
      <c r="I150" s="189">
        <f t="shared" ca="1" si="69"/>
        <v>25.98161358729056</v>
      </c>
      <c r="J150" s="189">
        <f t="shared" ca="1" si="69"/>
        <v>25.98161358729056</v>
      </c>
      <c r="K150" s="189">
        <f t="shared" ca="1" si="69"/>
        <v>26.095054879086852</v>
      </c>
      <c r="L150" s="189">
        <f t="shared" ca="1" si="69"/>
        <v>26.095054879086852</v>
      </c>
      <c r="M150" s="189">
        <f t="shared" ca="1" si="69"/>
        <v>26.095054879086852</v>
      </c>
      <c r="N150" s="189">
        <f t="shared" ca="1" si="69"/>
        <v>25.98161358729056</v>
      </c>
      <c r="O150" s="189">
        <f t="shared" ca="1" si="69"/>
        <v>26.095054879086852</v>
      </c>
      <c r="P150" s="189">
        <f t="shared" ca="1" si="69"/>
        <v>26.095054879086852</v>
      </c>
      <c r="Q150" s="189">
        <f t="shared" ca="1" si="69"/>
        <v>25.98161358729056</v>
      </c>
      <c r="R150" s="189">
        <f t="shared" ca="1" si="69"/>
        <v>26.095054879086852</v>
      </c>
      <c r="S150" s="189">
        <f t="shared" ca="1" si="69"/>
        <v>25.523680573239499</v>
      </c>
      <c r="T150" s="189">
        <f t="shared" ca="1" si="69"/>
        <v>26.095054879086852</v>
      </c>
      <c r="U150" s="189">
        <f t="shared" ca="1" si="69"/>
        <v>25.523680573239499</v>
      </c>
      <c r="V150" s="189">
        <f t="shared" ca="1" si="69"/>
        <v>25.523680573239499</v>
      </c>
      <c r="W150" s="189">
        <f t="shared" ca="1" si="69"/>
        <v>25.523680573239499</v>
      </c>
      <c r="X150" s="189">
        <f t="shared" ca="1" si="69"/>
        <v>25.560498064416578</v>
      </c>
      <c r="Y150" s="189">
        <f t="shared" ca="1" si="69"/>
        <v>26.372360866957905</v>
      </c>
      <c r="Z150" s="259">
        <f t="array" aca="1" ref="Z150" ca="1">SUM(B149:Y149*B150:Y150)</f>
        <v>17944.308798315389</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-26.095054879086852</v>
      </c>
      <c r="C153" s="188">
        <f t="shared" ca="1" si="71"/>
        <v>-26.095054879086852</v>
      </c>
      <c r="D153" s="188">
        <f t="shared" ca="1" si="71"/>
        <v>-25.98161358729056</v>
      </c>
      <c r="E153" s="188">
        <f t="shared" ca="1" si="71"/>
        <v>-26.095054879086852</v>
      </c>
      <c r="F153" s="188">
        <f t="shared" ca="1" si="71"/>
        <v>-26.095054879086852</v>
      </c>
      <c r="G153" s="188">
        <f t="shared" ca="1" si="71"/>
        <v>-25.98161358729056</v>
      </c>
      <c r="H153" s="188">
        <f t="shared" ca="1" si="71"/>
        <v>-25.98161358729056</v>
      </c>
      <c r="I153" s="188">
        <f t="shared" ca="1" si="71"/>
        <v>-25.98161358729056</v>
      </c>
      <c r="J153" s="188">
        <f t="shared" ca="1" si="71"/>
        <v>-25.98161358729056</v>
      </c>
      <c r="K153" s="188">
        <f t="shared" ca="1" si="71"/>
        <v>-26.095054879086852</v>
      </c>
      <c r="L153" s="188">
        <f t="shared" ca="1" si="71"/>
        <v>-26.095054879086852</v>
      </c>
      <c r="M153" s="188">
        <f t="shared" ca="1" si="71"/>
        <v>-26.095054879086852</v>
      </c>
      <c r="N153" s="188">
        <f t="shared" ca="1" si="71"/>
        <v>-25.98161358729056</v>
      </c>
      <c r="O153" s="188">
        <f t="shared" ca="1" si="71"/>
        <v>-26.095054879086852</v>
      </c>
      <c r="P153" s="188">
        <f t="shared" ca="1" si="71"/>
        <v>-26.095054879086852</v>
      </c>
      <c r="Q153" s="188">
        <f t="shared" ca="1" si="71"/>
        <v>-25.98161358729056</v>
      </c>
      <c r="R153" s="188">
        <f t="shared" ca="1" si="71"/>
        <v>-26.095054879086852</v>
      </c>
      <c r="S153" s="188">
        <f t="shared" ca="1" si="71"/>
        <v>-25.523680573239499</v>
      </c>
      <c r="T153" s="188">
        <f t="shared" ca="1" si="71"/>
        <v>-26.095054879086852</v>
      </c>
      <c r="U153" s="188">
        <f t="shared" ca="1" si="71"/>
        <v>-25.523680573239499</v>
      </c>
      <c r="V153" s="188">
        <f t="shared" ca="1" si="71"/>
        <v>-25.523680573239499</v>
      </c>
      <c r="W153" s="188">
        <f t="shared" ca="1" si="71"/>
        <v>-25.523680573239499</v>
      </c>
      <c r="X153" s="188">
        <f t="shared" ca="1" si="71"/>
        <v>-25.560498064416578</v>
      </c>
      <c r="Y153" s="188">
        <f t="shared" ca="1" si="71"/>
        <v>-26.372360866957905</v>
      </c>
      <c r="Z153" s="260">
        <f ca="1">Z150-Z152</f>
        <v>17944.308798315389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781</v>
      </c>
      <c r="C164" s="303">
        <f t="shared" si="80"/>
        <v>733</v>
      </c>
      <c r="D164" s="303">
        <f t="shared" si="80"/>
        <v>738</v>
      </c>
      <c r="E164" s="303">
        <f t="shared" si="80"/>
        <v>738</v>
      </c>
      <c r="F164" s="303">
        <f t="shared" si="80"/>
        <v>736</v>
      </c>
      <c r="G164" s="303">
        <f t="shared" si="80"/>
        <v>745</v>
      </c>
      <c r="H164" s="303">
        <f t="shared" si="80"/>
        <v>745</v>
      </c>
      <c r="I164" s="303">
        <f t="shared" si="80"/>
        <v>758</v>
      </c>
      <c r="J164" s="303">
        <f t="shared" si="80"/>
        <v>788</v>
      </c>
      <c r="K164" s="303">
        <f t="shared" si="80"/>
        <v>821</v>
      </c>
      <c r="L164" s="303">
        <f t="shared" si="80"/>
        <v>826</v>
      </c>
      <c r="M164" s="303" t="e">
        <f t="shared" si="80"/>
        <v>#REF!</v>
      </c>
      <c r="N164" s="303">
        <f t="shared" si="80"/>
        <v>829</v>
      </c>
      <c r="O164" s="303">
        <f t="shared" si="80"/>
        <v>825</v>
      </c>
      <c r="P164" s="303">
        <f t="shared" si="80"/>
        <v>816</v>
      </c>
      <c r="Q164" s="303">
        <f t="shared" si="80"/>
        <v>817</v>
      </c>
      <c r="R164" s="303">
        <f t="shared" si="80"/>
        <v>796</v>
      </c>
      <c r="S164" s="303">
        <f t="shared" si="80"/>
        <v>984</v>
      </c>
      <c r="T164" s="303">
        <f t="shared" si="80"/>
        <v>954</v>
      </c>
      <c r="U164" s="303">
        <f t="shared" si="80"/>
        <v>1082</v>
      </c>
      <c r="V164" s="303">
        <f t="shared" si="80"/>
        <v>1070</v>
      </c>
      <c r="W164" s="303">
        <f t="shared" si="80"/>
        <v>1000</v>
      </c>
      <c r="X164" s="303">
        <f t="shared" si="80"/>
        <v>922</v>
      </c>
      <c r="Y164" s="304">
        <f t="shared" si="80"/>
        <v>904</v>
      </c>
      <c r="Z164" s="270"/>
      <c r="AA164" s="268"/>
    </row>
    <row r="165" spans="1:27" s="269" customFormat="1" ht="13.5" customHeight="1" thickBot="1" x14ac:dyDescent="0.25">
      <c r="A165" s="305" t="s">
        <v>183</v>
      </c>
      <c r="B165" s="306">
        <f t="shared" ref="B165:Y165" si="81">B161+B156+B151+B146+B141+B136+B131+B126+B121+B116+B111+B106+B102+B99+B96+B93+B90</f>
        <v>1010</v>
      </c>
      <c r="C165" s="306">
        <f t="shared" si="81"/>
        <v>909</v>
      </c>
      <c r="D165" s="306">
        <f t="shared" si="81"/>
        <v>879</v>
      </c>
      <c r="E165" s="306">
        <f t="shared" si="81"/>
        <v>879</v>
      </c>
      <c r="F165" s="306">
        <f t="shared" si="81"/>
        <v>889</v>
      </c>
      <c r="G165" s="306">
        <f t="shared" si="81"/>
        <v>899</v>
      </c>
      <c r="H165" s="306">
        <f t="shared" si="81"/>
        <v>925</v>
      </c>
      <c r="I165" s="306">
        <f t="shared" si="81"/>
        <v>910</v>
      </c>
      <c r="J165" s="306">
        <f t="shared" si="81"/>
        <v>910</v>
      </c>
      <c r="K165" s="306">
        <f t="shared" si="81"/>
        <v>910</v>
      </c>
      <c r="L165" s="306">
        <f t="shared" si="81"/>
        <v>961</v>
      </c>
      <c r="M165" s="306">
        <f t="shared" si="81"/>
        <v>961</v>
      </c>
      <c r="N165" s="306">
        <f t="shared" si="81"/>
        <v>961</v>
      </c>
      <c r="O165" s="306">
        <f t="shared" si="81"/>
        <v>961</v>
      </c>
      <c r="P165" s="306">
        <f t="shared" si="81"/>
        <v>961</v>
      </c>
      <c r="Q165" s="306">
        <f t="shared" si="81"/>
        <v>961</v>
      </c>
      <c r="R165" s="306">
        <f t="shared" si="81"/>
        <v>961</v>
      </c>
      <c r="S165" s="306">
        <f t="shared" si="81"/>
        <v>984</v>
      </c>
      <c r="T165" s="306">
        <f t="shared" si="81"/>
        <v>1090</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229</v>
      </c>
      <c r="C166" s="331">
        <f t="shared" si="82"/>
        <v>176</v>
      </c>
      <c r="D166" s="331">
        <f t="shared" si="82"/>
        <v>141</v>
      </c>
      <c r="E166" s="331">
        <f t="shared" si="82"/>
        <v>141</v>
      </c>
      <c r="F166" s="331">
        <f t="shared" si="82"/>
        <v>153</v>
      </c>
      <c r="G166" s="331">
        <f t="shared" si="82"/>
        <v>154</v>
      </c>
      <c r="H166" s="331">
        <f t="shared" si="82"/>
        <v>180</v>
      </c>
      <c r="I166" s="331">
        <f t="shared" si="82"/>
        <v>152</v>
      </c>
      <c r="J166" s="331">
        <f t="shared" si="82"/>
        <v>122</v>
      </c>
      <c r="K166" s="331">
        <f t="shared" si="82"/>
        <v>89</v>
      </c>
      <c r="L166" s="331">
        <f t="shared" si="82"/>
        <v>135</v>
      </c>
      <c r="M166" s="331" t="e">
        <f t="shared" si="82"/>
        <v>#REF!</v>
      </c>
      <c r="N166" s="331">
        <f t="shared" si="82"/>
        <v>132</v>
      </c>
      <c r="O166" s="331">
        <f t="shared" si="82"/>
        <v>136</v>
      </c>
      <c r="P166" s="331">
        <f t="shared" si="82"/>
        <v>145</v>
      </c>
      <c r="Q166" s="331">
        <f t="shared" si="82"/>
        <v>144</v>
      </c>
      <c r="R166" s="331">
        <f t="shared" si="82"/>
        <v>165</v>
      </c>
      <c r="S166" s="331">
        <f t="shared" si="82"/>
        <v>0</v>
      </c>
      <c r="T166" s="331">
        <f t="shared" si="82"/>
        <v>136</v>
      </c>
      <c r="U166" s="331">
        <f t="shared" si="82"/>
        <v>-28</v>
      </c>
      <c r="V166" s="331">
        <f t="shared" si="82"/>
        <v>-102</v>
      </c>
      <c r="W166" s="331">
        <f t="shared" si="82"/>
        <v>-62</v>
      </c>
      <c r="X166" s="331">
        <f t="shared" si="82"/>
        <v>-13</v>
      </c>
      <c r="Y166" s="332">
        <f t="shared" si="82"/>
        <v>5</v>
      </c>
      <c r="Z166" s="336" t="e">
        <f>SUM(B166:Y166)</f>
        <v>#REF!</v>
      </c>
    </row>
    <row r="167" spans="1:27" s="325" customFormat="1" ht="32.25" customHeight="1" thickBot="1" x14ac:dyDescent="0.25">
      <c r="A167" s="333" t="s">
        <v>185</v>
      </c>
      <c r="B167" s="334">
        <f t="shared" ref="B167:Y167" ca="1" si="83">B58</f>
        <v>-7</v>
      </c>
      <c r="C167" s="334">
        <f t="shared" ca="1" si="83"/>
        <v>-1</v>
      </c>
      <c r="D167" s="334">
        <f t="shared" ca="1" si="83"/>
        <v>-8</v>
      </c>
      <c r="E167" s="334">
        <f ca="1">E58</f>
        <v>-3</v>
      </c>
      <c r="F167" s="334">
        <f t="shared" ca="1" si="83"/>
        <v>-3</v>
      </c>
      <c r="G167" s="334">
        <f t="shared" ca="1" si="83"/>
        <v>0</v>
      </c>
      <c r="H167" s="334">
        <f t="shared" ca="1" si="83"/>
        <v>3</v>
      </c>
      <c r="I167" s="334">
        <f t="shared" ca="1" si="83"/>
        <v>-3</v>
      </c>
      <c r="J167" s="334">
        <f t="shared" ca="1" si="83"/>
        <v>1</v>
      </c>
      <c r="K167" s="334">
        <f t="shared" ca="1" si="83"/>
        <v>-4</v>
      </c>
      <c r="L167" s="334">
        <f t="shared" ca="1" si="83"/>
        <v>8</v>
      </c>
      <c r="M167" s="334">
        <f t="shared" ca="1" si="83"/>
        <v>10</v>
      </c>
      <c r="N167" s="334">
        <f t="shared" ca="1" si="83"/>
        <v>11</v>
      </c>
      <c r="O167" s="334">
        <f t="shared" ca="1" si="83"/>
        <v>16</v>
      </c>
      <c r="P167" s="334">
        <f t="shared" ca="1" si="83"/>
        <v>-5</v>
      </c>
      <c r="Q167" s="334">
        <f t="shared" ca="1" si="83"/>
        <v>0</v>
      </c>
      <c r="R167" s="334">
        <f t="shared" ca="1" si="83"/>
        <v>-8</v>
      </c>
      <c r="S167" s="334">
        <f t="shared" ca="1" si="83"/>
        <v>1</v>
      </c>
      <c r="T167" s="334">
        <f t="shared" ca="1" si="83"/>
        <v>-105</v>
      </c>
      <c r="U167" s="334">
        <f t="shared" ca="1" si="83"/>
        <v>29</v>
      </c>
      <c r="V167" s="334">
        <f t="shared" ca="1" si="83"/>
        <v>20</v>
      </c>
      <c r="W167" s="334">
        <f t="shared" ca="1" si="83"/>
        <v>-2</v>
      </c>
      <c r="X167" s="334">
        <f t="shared" ca="1" si="83"/>
        <v>5</v>
      </c>
      <c r="Y167" s="335">
        <f t="shared" ca="1" si="83"/>
        <v>3</v>
      </c>
      <c r="Z167" s="323">
        <f ca="1">SUM(B167:Y167)</f>
        <v>-42</v>
      </c>
      <c r="AA167" s="324"/>
    </row>
    <row r="168" spans="1:27" ht="13.5" hidden="1" thickBot="1" x14ac:dyDescent="0.25">
      <c r="A168" s="326" t="s">
        <v>186</v>
      </c>
      <c r="B168" s="327">
        <f t="shared" ref="B168:Y168" ca="1" si="84">B167+B166</f>
        <v>222</v>
      </c>
      <c r="C168" s="327">
        <f t="shared" ca="1" si="84"/>
        <v>175</v>
      </c>
      <c r="D168" s="327">
        <f t="shared" ca="1" si="84"/>
        <v>133</v>
      </c>
      <c r="E168" s="327">
        <f t="shared" ca="1" si="84"/>
        <v>138</v>
      </c>
      <c r="F168" s="327">
        <f t="shared" ca="1" si="84"/>
        <v>150</v>
      </c>
      <c r="G168" s="327">
        <f t="shared" ca="1" si="84"/>
        <v>154</v>
      </c>
      <c r="H168" s="327">
        <f t="shared" ca="1" si="84"/>
        <v>183</v>
      </c>
      <c r="I168" s="327">
        <f t="shared" ca="1" si="84"/>
        <v>149</v>
      </c>
      <c r="J168" s="327">
        <f t="shared" ca="1" si="84"/>
        <v>123</v>
      </c>
      <c r="K168" s="327">
        <f t="shared" ca="1" si="84"/>
        <v>85</v>
      </c>
      <c r="L168" s="327">
        <f t="shared" ca="1" si="84"/>
        <v>143</v>
      </c>
      <c r="M168" s="327" t="e">
        <f t="shared" ca="1" si="84"/>
        <v>#REF!</v>
      </c>
      <c r="N168" s="327">
        <f t="shared" ca="1" si="84"/>
        <v>143</v>
      </c>
      <c r="O168" s="327">
        <f t="shared" ca="1" si="84"/>
        <v>152</v>
      </c>
      <c r="P168" s="327">
        <f t="shared" ca="1" si="84"/>
        <v>140</v>
      </c>
      <c r="Q168" s="327">
        <f t="shared" ca="1" si="84"/>
        <v>144</v>
      </c>
      <c r="R168" s="327">
        <f t="shared" ca="1" si="84"/>
        <v>157</v>
      </c>
      <c r="S168" s="327">
        <f t="shared" ca="1" si="84"/>
        <v>1</v>
      </c>
      <c r="T168" s="327">
        <f t="shared" ca="1" si="84"/>
        <v>31</v>
      </c>
      <c r="U168" s="327">
        <f t="shared" ca="1" si="84"/>
        <v>1</v>
      </c>
      <c r="V168" s="327">
        <f t="shared" ca="1" si="84"/>
        <v>-82</v>
      </c>
      <c r="W168" s="327">
        <f t="shared" ca="1" si="84"/>
        <v>-64</v>
      </c>
      <c r="X168" s="327">
        <f t="shared" ca="1" si="84"/>
        <v>-8</v>
      </c>
      <c r="Y168" s="327">
        <f t="shared" ca="1" si="84"/>
        <v>8</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317</v>
      </c>
      <c r="C171" s="338">
        <f t="shared" si="85"/>
        <v>294</v>
      </c>
      <c r="D171" s="338">
        <f t="shared" si="85"/>
        <v>290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289</v>
      </c>
      <c r="F171" s="338">
        <f t="shared" si="85"/>
        <v>291</v>
      </c>
      <c r="G171" s="338">
        <f t="shared" si="85"/>
        <v>283</v>
      </c>
      <c r="H171" s="338">
        <f t="shared" si="85"/>
        <v>283</v>
      </c>
      <c r="I171" s="338">
        <f t="shared" si="85"/>
        <v>271</v>
      </c>
      <c r="J171" s="338">
        <f t="shared" si="85"/>
        <v>240</v>
      </c>
      <c r="K171" s="338">
        <f t="shared" si="85"/>
        <v>207</v>
      </c>
      <c r="L171" s="338">
        <f t="shared" si="85"/>
        <v>201</v>
      </c>
      <c r="M171" s="338">
        <f t="shared" si="85"/>
        <v>192</v>
      </c>
      <c r="N171" s="338">
        <f t="shared" si="85"/>
        <v>199</v>
      </c>
      <c r="O171" s="338">
        <f t="shared" si="85"/>
        <v>202</v>
      </c>
      <c r="P171" s="338">
        <f t="shared" si="85"/>
        <v>212</v>
      </c>
      <c r="Q171" s="338">
        <f t="shared" si="85"/>
        <v>212</v>
      </c>
      <c r="R171" s="338">
        <f t="shared" si="85"/>
        <v>230</v>
      </c>
      <c r="S171" s="338">
        <f t="shared" si="85"/>
        <v>138</v>
      </c>
      <c r="T171" s="338">
        <f t="shared" si="85"/>
        <v>174</v>
      </c>
      <c r="U171" s="338">
        <f t="shared" si="85"/>
        <v>111</v>
      </c>
      <c r="V171" s="338">
        <f t="shared" si="85"/>
        <v>123</v>
      </c>
      <c r="W171" s="338">
        <f t="shared" si="85"/>
        <v>123</v>
      </c>
      <c r="X171" s="338">
        <f t="shared" si="85"/>
        <v>187</v>
      </c>
      <c r="Y171" s="339">
        <f t="shared" si="85"/>
        <v>196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158</v>
      </c>
      <c r="C172" s="341">
        <f t="shared" si="86"/>
        <v>209</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239</v>
      </c>
      <c r="F172" s="341">
        <f t="shared" si="86"/>
        <v>238</v>
      </c>
      <c r="G172" s="341">
        <f t="shared" si="86"/>
        <v>238</v>
      </c>
      <c r="H172" s="341">
        <f t="shared" si="86"/>
        <v>193</v>
      </c>
      <c r="I172" s="341">
        <f t="shared" si="86"/>
        <v>208</v>
      </c>
      <c r="J172" s="341">
        <f t="shared" si="86"/>
        <v>208</v>
      </c>
      <c r="K172" s="341">
        <f t="shared" si="86"/>
        <v>208</v>
      </c>
      <c r="L172" s="341">
        <f t="shared" si="86"/>
        <v>157</v>
      </c>
      <c r="M172" s="341">
        <f t="shared" si="86"/>
        <v>157</v>
      </c>
      <c r="N172" s="341">
        <f t="shared" si="86"/>
        <v>157</v>
      </c>
      <c r="O172" s="341">
        <f t="shared" si="86"/>
        <v>157</v>
      </c>
      <c r="P172" s="341">
        <f t="shared" si="86"/>
        <v>157</v>
      </c>
      <c r="Q172" s="341">
        <f t="shared" si="86"/>
        <v>157</v>
      </c>
      <c r="R172" s="341">
        <f t="shared" si="86"/>
        <v>157</v>
      </c>
      <c r="S172" s="341">
        <f t="shared" si="86"/>
        <v>134</v>
      </c>
      <c r="T172" s="341">
        <f t="shared" si="86"/>
        <v>57</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8585.7954545454559</v>
      </c>
      <c r="F14" s="33">
        <f>(D14*$C$6)+(C14*$C$7)</f>
        <v>2.09</v>
      </c>
      <c r="G14" s="32">
        <f ca="1">E14*F14</f>
        <v>17944.3125</v>
      </c>
      <c r="H14" s="33"/>
    </row>
    <row r="15" spans="1:8" x14ac:dyDescent="0.2">
      <c r="B15" s="236" t="s">
        <v>18</v>
      </c>
      <c r="E15" s="34">
        <f ca="1">SUM(E12:E14)</f>
        <v>8585.7954545454559</v>
      </c>
      <c r="F15" s="35"/>
      <c r="G15" s="34">
        <f ca="1">SUM(G12:G14)</f>
        <v>17944.3125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7244.5412149234699</v>
      </c>
      <c r="F22" s="33">
        <f>IF($I$22=1,C22*$C$8,C22*$G$7)+IF($J$22=1,D22*$C$6,D22*$G$6)</f>
        <v>1.96</v>
      </c>
      <c r="G22" s="32">
        <f t="shared" ref="G22:G29" ca="1" si="0">F22*E22</f>
        <v>14199.30078125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12428.04727359694</v>
      </c>
      <c r="F25" s="33">
        <f t="shared" si="1"/>
        <v>1.96</v>
      </c>
      <c r="G25" s="32">
        <f t="shared" ca="1" si="0"/>
        <v>24358.97265625</v>
      </c>
      <c r="I25" s="31"/>
      <c r="J25" s="31"/>
      <c r="K25" s="31"/>
    </row>
    <row r="26" spans="1:12" x14ac:dyDescent="0.2">
      <c r="B26" s="234" t="s">
        <v>47</v>
      </c>
      <c r="C26" s="235">
        <v>1</v>
      </c>
      <c r="D26" s="235">
        <v>0</v>
      </c>
      <c r="E26" s="32">
        <f ca="1">-INDEX(Economics!$A$34:$D$45,MATCH(Fuel!B26,Economics!$A$34:$A$45,0),4)/Fuel!F26</f>
        <v>9310.3545519770414</v>
      </c>
      <c r="F26" s="33">
        <f t="shared" si="1"/>
        <v>1.96</v>
      </c>
      <c r="G26" s="32">
        <f t="shared" ca="1" si="0"/>
        <v>18248.294921875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6428.4269371811224</v>
      </c>
      <c r="F28" s="33">
        <f t="shared" si="1"/>
        <v>1.96</v>
      </c>
      <c r="G28" s="32">
        <f t="shared" ca="1" si="0"/>
        <v>12599.716796875</v>
      </c>
      <c r="I28" s="31"/>
      <c r="J28" s="31"/>
      <c r="K28" s="31"/>
    </row>
    <row r="29" spans="1:12" x14ac:dyDescent="0.2">
      <c r="B29" s="234" t="s">
        <v>50</v>
      </c>
      <c r="C29" s="235">
        <v>1</v>
      </c>
      <c r="D29" s="235">
        <v>0</v>
      </c>
      <c r="E29" s="32">
        <f ca="1">-INDEX(Economics!$A$34:$D$45,MATCH(Fuel!B29,Economics!$A$34:$A$45,0),4)/Fuel!F29</f>
        <v>5540.0011957908164</v>
      </c>
      <c r="F29" s="33">
        <f t="shared" si="1"/>
        <v>1.96</v>
      </c>
      <c r="G29" s="32">
        <f t="shared" ca="1" si="0"/>
        <v>10858.40234375</v>
      </c>
      <c r="I29" s="31"/>
      <c r="J29" s="31"/>
      <c r="K29" s="31"/>
    </row>
    <row r="30" spans="1:12" x14ac:dyDescent="0.2">
      <c r="B30" s="236"/>
      <c r="C30" s="36"/>
      <c r="D30" s="36"/>
      <c r="E30" s="34">
        <f ca="1">SUM(E22:E29)</f>
        <v>40951.371173469386</v>
      </c>
      <c r="F30" s="35"/>
      <c r="G30" s="34">
        <f ca="1">SUM(G22:G29)</f>
        <v>80264.6875</v>
      </c>
      <c r="I30" s="31"/>
      <c r="J30" s="31"/>
      <c r="K30" s="31"/>
    </row>
    <row r="31" spans="1:12" x14ac:dyDescent="0.2">
      <c r="B31" s="236"/>
      <c r="I31" s="31"/>
      <c r="J31" s="31"/>
      <c r="K31" s="31"/>
    </row>
    <row r="32" spans="1:12" ht="13.5" thickBot="1" x14ac:dyDescent="0.25">
      <c r="B32" s="236" t="s">
        <v>18</v>
      </c>
      <c r="E32" s="7">
        <f ca="1">E15+E18+E30</f>
        <v>49537.166628014842</v>
      </c>
      <c r="F32" s="8"/>
      <c r="G32" s="7">
        <f ca="1">G15+G18+G30</f>
        <v>98209</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468151.2</v>
      </c>
      <c r="C3" s="117">
        <f ca="1">6.8*0.75*E3</f>
        <v>115341.59999999999</v>
      </c>
      <c r="D3" s="117">
        <f ca="1">C3+B3</f>
        <v>583492.80000000005</v>
      </c>
      <c r="E3" s="118">
        <f ca="1">SUM(Preschedule!B59:Y59)</f>
        <v>22616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-18697.078400000002</v>
      </c>
      <c r="C28" s="120"/>
      <c r="D28" s="120">
        <f>C28+B28</f>
        <v>-18697.078400000002</v>
      </c>
      <c r="E28" s="114">
        <f>SUM(Preschedule!B56:Y56)</f>
        <v>1430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-29516.832000000002</v>
      </c>
      <c r="C30" s="120"/>
      <c r="D30" s="120">
        <f>C30+B30</f>
        <v>-29516.832000000002</v>
      </c>
      <c r="E30" s="114">
        <f>SUM(Preschedule!B53:Y53)</f>
        <v>4842</v>
      </c>
      <c r="F30" s="120">
        <f>H30*I30</f>
        <v>6.0960000000000001</v>
      </c>
      <c r="G30" s="79">
        <f>-IF(E30=0,0,D30/E30)</f>
        <v>6.0960000000000001</v>
      </c>
      <c r="H30" s="134">
        <v>10.16</v>
      </c>
      <c r="I30" s="135">
        <v>0.6</v>
      </c>
    </row>
    <row r="31" spans="1:9" x14ac:dyDescent="0.2">
      <c r="A31" s="83" t="s">
        <v>44</v>
      </c>
      <c r="B31" s="120">
        <f>-F31*E31</f>
        <v>-29516.832000000002</v>
      </c>
      <c r="C31" s="120"/>
      <c r="D31" s="120">
        <f>C31+B31</f>
        <v>-29516.832000000002</v>
      </c>
      <c r="E31" s="114">
        <f>SUM(Preschedule!B54:Y54)</f>
        <v>4842</v>
      </c>
      <c r="F31" s="120">
        <f>H31*I31</f>
        <v>6.0960000000000001</v>
      </c>
      <c r="G31" s="79">
        <f>-IF(E31=0,0,D31/E31)</f>
        <v>6.0960000000000001</v>
      </c>
      <c r="H31" s="134">
        <v>10.16</v>
      </c>
      <c r="I31" s="135">
        <v>0.6</v>
      </c>
    </row>
    <row r="32" spans="1:9" x14ac:dyDescent="0.2">
      <c r="A32" s="83" t="s">
        <v>45</v>
      </c>
      <c r="B32" s="120">
        <f>-F32*E32</f>
        <v>-29516.832000000002</v>
      </c>
      <c r="C32" s="120"/>
      <c r="D32" s="120">
        <f>C32+B32</f>
        <v>-29516.832000000002</v>
      </c>
      <c r="E32" s="114">
        <f>SUM(Preschedule!B55:Y55)</f>
        <v>4842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-18248.294921875</v>
      </c>
      <c r="C35" s="120"/>
      <c r="D35" s="120">
        <f t="shared" ref="D35:D45" ca="1" si="7">IF(ISTEXT(B35),0,C35+B35)</f>
        <v>-18248.294921875</v>
      </c>
      <c r="E35" s="114">
        <f>SUM(Preschedule!B42:Y42)</f>
        <v>858</v>
      </c>
      <c r="F35" s="120">
        <f t="shared" ref="F35:F45" ca="1" si="8">-IF(OR(ISTEXT(B35),E35=0),0,B35/E35)</f>
        <v>21.268408999854312</v>
      </c>
      <c r="G35" s="79">
        <f t="shared" ca="1" si="6"/>
        <v>21.268408999854312</v>
      </c>
      <c r="H35" s="136"/>
      <c r="I35" s="135">
        <f t="shared" ref="I35:I45" si="9">INDEX(FuelPriceTable,MATCH(A35,FuelNames,0),5)</f>
        <v>1.96</v>
      </c>
    </row>
    <row r="36" spans="1:9" x14ac:dyDescent="0.2">
      <c r="A36" s="83" t="s">
        <v>48</v>
      </c>
      <c r="B36" s="120">
        <f ca="1">Gencost(Preschedule!B43:Y43,OFFSET(HeatRateStart,1,MATCH(A36,HeatRateNames,0)-1,250,1),I36)</f>
        <v>-24358.97265625</v>
      </c>
      <c r="C36" s="120"/>
      <c r="D36" s="120">
        <f t="shared" ca="1" si="7"/>
        <v>-24358.97265625</v>
      </c>
      <c r="E36" s="114">
        <f>SUM(Preschedule!B43:Y43)</f>
        <v>1175</v>
      </c>
      <c r="F36" s="120">
        <f t="shared" ca="1" si="8"/>
        <v>20.731040558510639</v>
      </c>
      <c r="G36" s="79">
        <f t="shared" ca="1" si="6"/>
        <v>20.731040558510639</v>
      </c>
      <c r="H36" s="136"/>
      <c r="I36" s="135">
        <f>INDEX(FuelPriceTable,MATCH(A36,FuelNames,0),5)</f>
        <v>1.96</v>
      </c>
    </row>
    <row r="37" spans="1:9" x14ac:dyDescent="0.2">
      <c r="A37" s="83" t="s">
        <v>49</v>
      </c>
      <c r="B37" s="120">
        <f ca="1">Gencost(Preschedule!B44:Y44,OFFSET(HeatRateStart,1,MATCH(A37,HeatRateNames,0)-1,250,1),I37)</f>
        <v>-12599.716796875</v>
      </c>
      <c r="C37" s="120"/>
      <c r="D37" s="120">
        <f t="shared" ca="1" si="7"/>
        <v>-12599.716796875</v>
      </c>
      <c r="E37" s="114">
        <f>SUM(Preschedule!B44:Y44)</f>
        <v>364</v>
      </c>
      <c r="F37" s="120">
        <f t="shared" ca="1" si="8"/>
        <v>34.614606584821431</v>
      </c>
      <c r="G37" s="79">
        <f t="shared" ca="1" si="6"/>
        <v>34.614606584821431</v>
      </c>
      <c r="H37" s="136"/>
      <c r="I37" s="135">
        <f t="shared" si="9"/>
        <v>1.96</v>
      </c>
    </row>
    <row r="38" spans="1:9" x14ac:dyDescent="0.2">
      <c r="A38" s="83" t="s">
        <v>50</v>
      </c>
      <c r="B38" s="120">
        <f ca="1">Gencost(Preschedule!B45:Y45,OFFSET(HeatRateStart,1,MATCH(A38,HeatRateNames,0)-1,250,1),I38)</f>
        <v>-10858.40234375</v>
      </c>
      <c r="C38" s="120"/>
      <c r="D38" s="120">
        <f t="shared" ca="1" si="7"/>
        <v>-10858.40234375</v>
      </c>
      <c r="E38" s="114">
        <f>SUM(Preschedule!B45:Y45)</f>
        <v>278</v>
      </c>
      <c r="F38" s="120">
        <f t="shared" ca="1" si="8"/>
        <v>39.059001236510788</v>
      </c>
      <c r="G38" s="79">
        <f t="shared" ca="1" si="6"/>
        <v>39.059001236510788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-14199.30078125</v>
      </c>
      <c r="C41" s="120"/>
      <c r="D41" s="120">
        <f t="shared" ca="1" si="7"/>
        <v>-14199.30078125</v>
      </c>
      <c r="E41" s="114">
        <f>SUM(Preschedule!B48:Y48)</f>
        <v>746</v>
      </c>
      <c r="F41" s="120">
        <f t="shared" ca="1" si="8"/>
        <v>19.033915256367294</v>
      </c>
      <c r="G41" s="79">
        <f t="shared" ca="1" si="6"/>
        <v>19.033915256367294</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-17944.3125</v>
      </c>
      <c r="C43" s="120"/>
      <c r="D43" s="120">
        <f t="shared" ca="1" si="7"/>
        <v>-17944.3125</v>
      </c>
      <c r="E43" s="114">
        <f>SUM(Preschedule!B50:Y50)</f>
        <v>692</v>
      </c>
      <c r="F43" s="120">
        <f t="shared" ca="1" si="8"/>
        <v>25.931087427745666</v>
      </c>
      <c r="G43" s="79">
        <f t="shared" ca="1" si="6"/>
        <v>25.931087427745666</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37338.444444444445</v>
      </c>
    </row>
    <row r="32" spans="2:2" x14ac:dyDescent="0.2">
      <c r="B32" t="s">
        <v>370</v>
      </c>
    </row>
    <row r="33" spans="2:2" x14ac:dyDescent="0.2">
      <c r="B33" t="s">
        <v>379</v>
      </c>
    </row>
    <row r="34" spans="2:2" x14ac:dyDescent="0.2">
      <c r="B34" t="s">
        <v>380</v>
      </c>
    </row>
    <row r="35" spans="2:2" x14ac:dyDescent="0.2">
      <c r="B35" t="s">
        <v>375</v>
      </c>
    </row>
    <row r="36" spans="2:2" x14ac:dyDescent="0.2">
      <c r="B36" t="s">
        <v>376</v>
      </c>
    </row>
    <row r="37" spans="2:2" x14ac:dyDescent="0.2">
      <c r="B37" t="s">
        <v>362</v>
      </c>
    </row>
    <row r="38" spans="2:2" x14ac:dyDescent="0.2">
      <c r="B38" t="s">
        <v>367</v>
      </c>
    </row>
    <row r="39" spans="2:2" x14ac:dyDescent="0.2">
      <c r="B39" t="s">
        <v>381</v>
      </c>
    </row>
    <row r="40" spans="2:2" x14ac:dyDescent="0.2">
      <c r="B40" t="s">
        <v>382</v>
      </c>
    </row>
    <row r="41" spans="2:2" x14ac:dyDescent="0.2">
      <c r="B41" t="s">
        <v>368</v>
      </c>
    </row>
    <row r="42" spans="2:2" x14ac:dyDescent="0.2">
      <c r="B42" t="s">
        <v>383</v>
      </c>
    </row>
    <row r="43" spans="2:2" x14ac:dyDescent="0.2">
      <c r="B43" t="s">
        <v>373</v>
      </c>
    </row>
    <row r="44" spans="2:2" x14ac:dyDescent="0.2">
      <c r="B44" t="s">
        <v>369</v>
      </c>
    </row>
    <row r="45" spans="2:2" x14ac:dyDescent="0.2">
      <c r="B45" t="s">
        <v>384</v>
      </c>
    </row>
    <row r="46" spans="2:2" x14ac:dyDescent="0.2">
      <c r="B46" t="s">
        <v>378</v>
      </c>
    </row>
    <row r="47" spans="2:2" x14ac:dyDescent="0.2">
      <c r="B47" t="s">
        <v>377</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2023-09-09T21:34:32Z</dcterms:modified>
</cp:coreProperties>
</file>