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5D02161-F728-4C5F-B1BF-4912BB15AF03}" xr6:coauthVersionLast="47" xr6:coauthVersionMax="47" xr10:uidLastSave="{00000000-0000-0000-0000-000000000000}"/>
  <bookViews>
    <workbookView xWindow="-120" yWindow="-120" windowWidth="38640" windowHeight="1572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7" i="2"/>
  <c r="AE77" i="2"/>
  <c r="AF77" i="2"/>
  <c r="AD78" i="2"/>
  <c r="AE78" i="2"/>
  <c r="AF78" i="2"/>
  <c r="AD79" i="2"/>
  <c r="AE79" i="2"/>
  <c r="AF79" i="2"/>
  <c r="AD80" i="2"/>
  <c r="AE80" i="2"/>
  <c r="AF80" i="2"/>
  <c r="AD82" i="2"/>
  <c r="AE82" i="2"/>
  <c r="AD83" i="2"/>
  <c r="AE83" i="2"/>
  <c r="AF83" i="2"/>
  <c r="AD84" i="2"/>
  <c r="AE84" i="2"/>
  <c r="AF84" i="2"/>
  <c r="AD85" i="2"/>
  <c r="AE85" i="2"/>
  <c r="AF85" i="2"/>
  <c r="AD86" i="2"/>
  <c r="AE86" i="2"/>
  <c r="AF86" i="2"/>
  <c r="AD87" i="2"/>
  <c r="AE87" i="2"/>
  <c r="AF87" i="2"/>
  <c r="AD88" i="2"/>
  <c r="AE88" i="2"/>
  <c r="AF88" i="2"/>
  <c r="AD89" i="2"/>
  <c r="AE89" i="2"/>
  <c r="AD91" i="2"/>
  <c r="AE91" i="2"/>
  <c r="AF91" i="2"/>
  <c r="AD92" i="2"/>
  <c r="AE92" i="2"/>
  <c r="AF92" i="2"/>
  <c r="AD100" i="2"/>
  <c r="AE100" i="2"/>
  <c r="AD101" i="2"/>
  <c r="AE101" i="2"/>
  <c r="AD105" i="2"/>
  <c r="AE105"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s_mcrouch</author>
    <author>A satisfied Microsoft Office user</author>
  </authors>
  <commentList>
    <comment ref="I58" authorId="0" shapeId="0">
      <text>
        <r>
          <rPr>
            <b/>
            <sz val="12"/>
            <color indexed="81"/>
            <rFont val="Tahoma"/>
            <family val="2"/>
          </rPr>
          <t>Meyers:</t>
        </r>
        <r>
          <rPr>
            <sz val="12"/>
            <color indexed="81"/>
            <rFont val="Tahoma"/>
            <family val="2"/>
          </rPr>
          <t xml:space="preserve">
Bought 50mw integrated to a 38mw @ 15mins. Past the hour.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<sst xmlns="http://schemas.openxmlformats.org/spreadsheetml/2006/main" count="762" uniqueCount="401">
  <si>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</si>
  <si>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</si>
  <si>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</si>
  <si>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</si>
  <si>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</si>
  <si>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</si>
  <si>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</si>
  <si>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</si>
  <si>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</si>
  <si>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</si>
  <si>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</si>
  <si>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</si>
  <si>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</si>
  <si>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</si>
  <si>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</si>
  <si>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</si>
  <si>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</si>
  <si>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</si>
  <si>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</si>
  <si>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</si>
  <si>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</si>
  <si>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</si>
  <si>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</si>
  <si>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</si>
  <si>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</si>
  <si>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</si>
  <si>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</si>
  <si>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</si>
  <si>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</si>
  <si>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</si>
  <si>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</si>
  <si>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</si>
  <si>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</si>
  <si>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</si>
  <si>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</si>
  <si>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</si>
  <si>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</si>
  <si>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</si>
  <si>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</si>
  <si>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</si>
  <si>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</si>
  <si>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</si>
  <si>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</si>
  <si>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</si>
  <si>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</si>
  <si>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</si>
  <si>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</si>
  <si>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</si>
  <si>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</si>
  <si>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</si>
  <si>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</si>
  <si>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</si>
  <si>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</si>
  <si>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</si>
  <si>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</si>
  <si>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</si>
  <si>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</si>
  <si>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</si>
  <si>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</si>
  <si>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</si>
  <si>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</si>
  <si>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</si>
  <si>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</si>
  <si>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</si>
  <si>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</si>
  <si>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</si>
  <si>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</si>
  <si>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</si>
  <si>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</si>
  <si>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</si>
  <si>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</si>
  <si>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</si>
  <si>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</si>
  <si>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</si>
  <si>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</si>
  <si>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</si>
  <si>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</si>
  <si>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</si>
  <si>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</si>
  <si>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</si>
  <si>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</si>
  <si>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</si>
  <si>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</si>
  <si>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</si>
  <si>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</si>
  <si>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</si>
  <si>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</si>
  <si>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</si>
  <si>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</si>
  <si>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</si>
  <si>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</si>
  <si>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</si>
  <si>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</si>
  <si>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</si>
  <si>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</si>
  <si>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</si>
  <si>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</si>
  <si>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</si>
  <si>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</si>
  <si>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</si>
  <si>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</si>
  <si>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</si>
  <si>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</si>
  <si>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</si>
  <si>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</si>
  <si>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</si>
  <si>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</si>
  <si>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</si>
  <si>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</si>
  <si>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</si>
  <si>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</si>
  <si>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</si>
  <si>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</si>
  <si>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</si>
  <si>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</si>
  <si>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</si>
  <si>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</si>
  <si>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</si>
  <si>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</si>
  <si>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</si>
  <si>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</si>
  <si>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</si>
  <si>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</si>
  <si>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</si>
  <si>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</si>
  <si>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</si>
  <si>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</si>
  <si>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</si>
  <si>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</si>
  <si>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</si>
  <si>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</si>
  <si>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</si>
  <si>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</si>
  <si>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</si>
  <si>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</si>
  <si>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</si>
  <si>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</si>
  <si>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</si>
  <si>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</si>
  <si>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</si>
  <si>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</si>
  <si>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</si>
  <si>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</si>
  <si>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</si>
  <si>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</si>
  <si>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</si>
  <si>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</si>
  <si>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</si>
  <si>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</si>
  <si>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</si>
  <si>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</si>
  <si>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</si>
  <si>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</si>
  <si>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</si>
  <si>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</si>
  <si>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</si>
  <si>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</si>
  <si>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</si>
  <si>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</si>
  <si>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</si>
  <si>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</si>
  <si>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</si>
  <si>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</si>
  <si>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</si>
  <si>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</si>
  <si>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</si>
  <si>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</si>
  <si>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</si>
  <si>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</si>
  <si>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</si>
  <si>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</si>
  <si>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</si>
  <si>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</si>
  <si>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</si>
  <si>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</si>
  <si>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</si>
  <si>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</si>
  <si>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</si>
  <si>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</si>
  <si>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</si>
  <si>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</si>
  <si>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</si>
  <si>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</si>
  <si>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</si>
  <si>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</si>
  <si>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</si>
  <si>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</si>
  <si>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</si>
  <si>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</si>
  <si>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</si>
  <si>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</si>
  <si>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</si>
  <si>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</si>
  <si>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</si>
  <si>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</si>
  <si>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</si>
  <si>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</si>
  <si>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</si>
  <si>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</si>
  <si>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</si>
  <si>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</si>
  <si>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</si>
  <si>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</si>
  <si>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</si>
  <si>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</si>
  <si>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</si>
  <si>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</si>
  <si>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</si>
  <si>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</si>
  <si>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</si>
  <si>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</si>
  <si>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</si>
  <si>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</si>
  <si>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</si>
  <si>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</si>
  <si>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</si>
  <si>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</si>
  <si>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</si>
  <si>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</si>
  <si>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</si>
  <si>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</si>
  <si>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</si>
  <si>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</si>
  <si>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</si>
  <si>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</si>
  <si>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</si>
  <si>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</si>
  <si>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</si>
  <si>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</si>
  <si>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</si>
  <si>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</si>
  <si>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</si>
  <si>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</si>
  <si>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</si>
  <si>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</si>
  <si>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</si>
  <si>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</si>
  <si>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</si>
  <si>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</si>
  <si>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</si>
  <si>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</si>
  <si>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</si>
  <si>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</si>
  <si>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</si>
  <si>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</si>
  <si>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</si>
  <si>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</si>
  <si>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</si>
  <si>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</si>
  <si>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</si>
  <si>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</si>
  <si>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</si>
  <si>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</si>
  <si>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</si>
  <si>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</si>
  <si>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</si>
  <si>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</si>
  <si>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</si>
  <si>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</si>
  <si>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</si>
  <si>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</si>
  <si>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</si>
  <si>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</si>
  <si>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</si>
  <si>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</si>
  <si>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</si>
  <si>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</si>
  <si>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</si>
  <si>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</si>
  <si>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</si>
  <si>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</si>
  <si>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</si>
  <si>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</si>
  <si>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</si>
  <si>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</si>
  <si>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</si>
  <si>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</si>
  <si>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</si>
  <si>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</si>
  <si>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</si>
  <si>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</si>
  <si>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</si>
  <si>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</si>
  <si>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</si>
  <si>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</si>
  <si>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</si>
  <si>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</si>
  <si>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</si>
  <si>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</si>
  <si>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</si>
  <si>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</si>
  <si>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</si>
  <si>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</si>
  <si>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</si>
  <si>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</si>
  <si>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</si>
  <si>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</si>
  <si>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</si>
  <si>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</si>
  <si>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</si>
  <si>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</si>
  <si>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</si>
  <si>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</si>
  <si>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</si>
  <si>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</si>
  <si>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</si>
  <si>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</si>
  <si>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</si>
  <si>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</si>
  <si>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</si>
  <si>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</si>
  <si>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</si>
  <si>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</si>
  <si>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</si>
  <si>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</si>
  <si>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</si>
  <si>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</si>
  <si>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</si>
  <si>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</si>
  <si>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</si>
  <si>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</si>
  <si>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</si>
  <si>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</si>
  <si>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</si>
  <si>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</si>
  <si>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</si>
  <si>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</si>
  <si>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</si>
  <si>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</si>
  <si>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</si>
  <si>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</si>
  <si>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</si>
  <si>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</si>
  <si>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</si>
  <si>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</si>
  <si>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</si>
  <si>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</si>
  <si>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</si>
  <si>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</si>
  <si>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</si>
  <si>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</si>
  <si>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</si>
  <si>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</si>
  <si>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</si>
  <si>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</si>
  <si>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</si>
  <si>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</si>
  <si>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</si>
  <si>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</si>
  <si>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</si>
  <si>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</si>
  <si>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</si>
  <si>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</si>
  <si>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</si>
  <si>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</si>
  <si>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</si>
  <si>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</si>
  <si>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</si>
  <si>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</si>
  <si>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</si>
  <si>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</si>
  <si>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</si>
  <si>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</si>
  <si>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</si>
  <si>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</si>
  <si>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</si>
  <si>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</si>
  <si>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</si>
  <si>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</si>
  <si>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</si>
  <si>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</si>
  <si>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</si>
  <si>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</si>
  <si>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</si>
  <si>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</si>
  <si>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</si>
  <si>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</si>
  <si>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</si>
  <si>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</si>
  <si>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</si>
  <si>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</si>
  <si>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Firm</t>
  </si>
  <si>
    <t>CISO</t>
  </si>
  <si>
    <t>SPS (BOOKOUT)</t>
  </si>
  <si>
    <t>IPC</t>
  </si>
  <si>
    <t>PNM     ,LOSS    ,WM,  ,   3,   3</t>
  </si>
  <si>
    <t>NEWMAN 1 ,UNAV,  0  , 75  , 39  , 83  ,  0  ,1</t>
  </si>
  <si>
    <t>RIOGRAN 8,UNAV,  0  ,120  , 36  ,151  ,  0  ,1</t>
  </si>
  <si>
    <t>FOURCRNRS,MANL, 50  , 50  , 50  ,104  ,  0  ,1</t>
  </si>
  <si>
    <t>IID     ,EXCS    ,PV,  ,   8,   8</t>
  </si>
  <si>
    <t>LDWP    ,FIRM    ,PV,  ,  25,  25</t>
  </si>
  <si>
    <t>PNM     ,FIRM    ,FC,  ,  30,  30</t>
  </si>
  <si>
    <t>PNM     ,FIRM    ,PV,  , -50, -50</t>
  </si>
  <si>
    <t>PGT     ,LOSS    ,LC,  ,  -1,  -1</t>
  </si>
  <si>
    <t>NEWMAN 3 ,ECON, 36  ,100  , 35  ,103  , 40  ,1</t>
  </si>
  <si>
    <t>Econ</t>
  </si>
  <si>
    <t>NEWMAN 2 ,ECON, 34  , 55  , 34  , 83  , 20  ,1</t>
  </si>
  <si>
    <t>PALOVERDE,MANL,604  ,600  ,600  ,600  ,  0  ,1</t>
  </si>
  <si>
    <t>NEWMAN 4 ,ECON,166  ,215  , 86  ,214  , 50  ,1</t>
  </si>
  <si>
    <t xml:space="preserve">NEWMAN   ,, 236 ,  370,  155, 400 , 110 , </t>
  </si>
  <si>
    <t>LAMBDA, 34.89,  864,  865,  138,   -3,    0,14299,0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</si>
</sst>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8EB7486-BD2B-FB75-C4DF-B60FED65E5E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5A02F474-7306-D37A-73E5-4068888301F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93B2E2E-5209-C86C-AF75-DE0071E81E0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D620B38A-A3A0-B1B2-F7F8-9B613F44ED1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6638D236-D10C-FD34-03CB-1C35617204E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95</xdr:row>
      <xdr:rowOff>114300</xdr:rowOff>
    </xdr:from>
    <xdr:to>
      <xdr:col>22</xdr:col>
      <xdr:colOff>123825</xdr:colOff>
      <xdr:row>104</xdr:row>
      <xdr:rowOff>95250</xdr:rowOff>
    </xdr:to>
    <xdr:sp macro="" textlink="">
      <xdr:nvSpPr>
        <xdr:cNvPr id="2303" name="Text Box 255">
          <a:extLst>
            <a:ext uri="{FF2B5EF4-FFF2-40B4-BE49-F238E27FC236}">
              <a16:creationId xmlns:a16="http://schemas.microsoft.com/office/drawing/2014/main" id="{B7111A7D-7A49-1C98-5308-1207DA1319E0}"/>
            </a:ext>
          </a:extLst>
        </xdr:cNvPr>
        <xdr:cNvSpPr txBox="1">
          <a:spLocks noChangeArrowheads="1"/>
        </xdr:cNvSpPr>
      </xdr:nvSpPr>
      <xdr:spPr bwMode="auto">
        <a:xfrm>
          <a:off x="171450" y="7953375"/>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Attached is EPE's unit commitment for Friday, February 1.  ENRON/dispatch,</a:t>
          </a:r>
        </a:p>
        <a:p>
          <a:pPr algn="l" rtl="0">
            <a:defRPr sz="1000"/>
          </a:pPr>
          <a:r>
            <a:rPr lang="en-US" sz="1400" b="0" i="0" u="none" strike="noStrike" baseline="0">
              <a:solidFill>
                <a:srgbClr val="000000"/>
              </a:solidFill>
              <a:latin typeface="Arial"/>
              <a:cs typeface="Arial"/>
            </a:rPr>
            <a:t>notice one of the GT's down to 7 MW, with NM-2 and 3 we only need one GT at</a:t>
          </a:r>
        </a:p>
        <a:p>
          <a:pPr algn="l" rtl="0">
            <a:defRPr sz="1000"/>
          </a:pPr>
          <a:r>
            <a:rPr lang="en-US" sz="1400" b="0" i="0" u="none" strike="noStrike" baseline="0">
              <a:solidFill>
                <a:srgbClr val="000000"/>
              </a:solidFill>
              <a:latin typeface="Arial"/>
              <a:cs typeface="Arial"/>
            </a:rPr>
            <a:t>20 MW and the other can come down all the way down to 7 MW.  ENRON notice</a:t>
          </a:r>
        </a:p>
        <a:p>
          <a:pPr algn="l" rtl="0">
            <a:defRPr sz="1000"/>
          </a:pPr>
          <a:r>
            <a:rPr lang="en-US" sz="1400" b="0" i="0" u="none" strike="noStrike" baseline="0">
              <a:solidFill>
                <a:srgbClr val="000000"/>
              </a:solidFill>
              <a:latin typeface="Arial"/>
              <a:cs typeface="Arial"/>
            </a:rPr>
            <a:t>proposed one hour purchase for HE 07:00 of 50 MW.  Call if there is any</a:t>
          </a:r>
        </a:p>
        <a:p>
          <a:pPr algn="l" rtl="0">
            <a:defRPr sz="1000"/>
          </a:pPr>
          <a:r>
            <a:rPr lang="en-US" sz="1400" b="0" i="0" u="none" strike="noStrike" baseline="0">
              <a:solidFill>
                <a:srgbClr val="000000"/>
              </a:solidFill>
              <a:latin typeface="Arial"/>
              <a:cs typeface="Arial"/>
            </a:rPr>
            <a:t>questions at 4181 or 5808.</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111</xdr:row>
      <xdr:rowOff>0</xdr:rowOff>
    </xdr:from>
    <xdr:to>
      <xdr:col>22</xdr:col>
      <xdr:colOff>66675</xdr:colOff>
      <xdr:row>117</xdr:row>
      <xdr:rowOff>47625</xdr:rowOff>
    </xdr:to>
    <xdr:sp macro="" textlink="">
      <xdr:nvSpPr>
        <xdr:cNvPr id="10463" name="Text Box 1247">
          <a:extLst>
            <a:ext uri="{FF2B5EF4-FFF2-40B4-BE49-F238E27FC236}">
              <a16:creationId xmlns:a16="http://schemas.microsoft.com/office/drawing/2014/main" id="{CFB93106-7876-0B6F-E1DE-AD0FDA47C61C}"/>
            </a:ext>
          </a:extLst>
        </xdr:cNvPr>
        <xdr:cNvSpPr txBox="1">
          <a:spLocks noChangeArrowheads="1"/>
        </xdr:cNvSpPr>
      </xdr:nvSpPr>
      <xdr:spPr bwMode="auto">
        <a:xfrm>
          <a:off x="209550" y="10629900"/>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D7F6771F-4F13-07B3-B120-0B30CF332B6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activeCell="O4" sqref="O4:AC4"/>
      <selection pane="bottomLeft" activeCell="J10" sqref="J10"/>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37288</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4"/>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665</v>
      </c>
      <c r="C4" s="518">
        <v>645</v>
      </c>
      <c r="D4" s="518">
        <v>644</v>
      </c>
      <c r="E4" s="518">
        <v>657</v>
      </c>
      <c r="F4" s="518">
        <v>656</v>
      </c>
      <c r="G4" s="518">
        <v>716</v>
      </c>
      <c r="H4" s="518">
        <v>792</v>
      </c>
      <c r="I4" s="518">
        <v>856</v>
      </c>
      <c r="J4" s="518">
        <v>862</v>
      </c>
      <c r="K4" s="518">
        <v>854</v>
      </c>
      <c r="L4" s="518">
        <v>833</v>
      </c>
      <c r="M4" s="518">
        <v>818</v>
      </c>
      <c r="N4" s="518">
        <v>804</v>
      </c>
      <c r="O4" s="518">
        <v>798</v>
      </c>
      <c r="P4" s="518">
        <v>783</v>
      </c>
      <c r="Q4" s="518">
        <v>776</v>
      </c>
      <c r="R4" s="518">
        <v>757</v>
      </c>
      <c r="S4" s="518">
        <v>792</v>
      </c>
      <c r="T4" s="518">
        <v>865</v>
      </c>
      <c r="U4" s="518">
        <v>839</v>
      </c>
      <c r="V4" s="518">
        <v>839</v>
      </c>
      <c r="W4" s="518">
        <v>813</v>
      </c>
      <c r="X4" s="519">
        <v>739</v>
      </c>
      <c r="Y4" s="519">
        <v>690</v>
      </c>
      <c r="Z4" s="354"/>
      <c r="AA4" s="354"/>
      <c r="AB4" s="354"/>
      <c r="AC4" s="354"/>
      <c r="AD4" s="354"/>
    </row>
    <row r="5" spans="1:213" s="161" customFormat="1" thickBot="1" x14ac:dyDescent="0.25">
      <c r="A5" s="705" t="s">
        <v>64</v>
      </c>
      <c r="B5" s="706">
        <f>Deals!F4</f>
        <v>60</v>
      </c>
      <c r="C5" s="706">
        <f>Deals!G4</f>
        <v>60</v>
      </c>
      <c r="D5" s="706">
        <f>Deals!H4</f>
        <v>60</v>
      </c>
      <c r="E5" s="706">
        <f>Deals!I4</f>
        <v>60</v>
      </c>
      <c r="F5" s="706">
        <f>Deals!J4</f>
        <v>60</v>
      </c>
      <c r="G5" s="706">
        <f>Deals!K4</f>
        <v>70</v>
      </c>
      <c r="H5" s="706">
        <f>Deals!L4</f>
        <v>75</v>
      </c>
      <c r="I5" s="706">
        <f>Deals!M4</f>
        <v>75</v>
      </c>
      <c r="J5" s="706">
        <f>Deals!N4</f>
        <v>75</v>
      </c>
      <c r="K5" s="706">
        <f>Deals!O4</f>
        <v>75</v>
      </c>
      <c r="L5" s="706">
        <f>Deals!P4</f>
        <v>75</v>
      </c>
      <c r="M5" s="706">
        <f>Deals!Q4</f>
        <v>75</v>
      </c>
      <c r="N5" s="706">
        <f>Deals!R4</f>
        <v>70</v>
      </c>
      <c r="O5" s="706">
        <f>Deals!S4</f>
        <v>70</v>
      </c>
      <c r="P5" s="706">
        <f>Deals!T4</f>
        <v>70</v>
      </c>
      <c r="Q5" s="706">
        <f>Deals!U4</f>
        <v>70</v>
      </c>
      <c r="R5" s="706">
        <f>Deals!V4</f>
        <v>70</v>
      </c>
      <c r="S5" s="706">
        <f>Deals!W4</f>
        <v>75</v>
      </c>
      <c r="T5" s="706">
        <f>Deals!X4</f>
        <v>75</v>
      </c>
      <c r="U5" s="706">
        <f>Deals!Y4</f>
        <v>75</v>
      </c>
      <c r="V5" s="706">
        <f>Deals!Z4</f>
        <v>75</v>
      </c>
      <c r="W5" s="706">
        <f>Deals!AA4</f>
        <v>75</v>
      </c>
      <c r="X5" s="706">
        <f>Deals!AB4</f>
        <v>70</v>
      </c>
      <c r="Y5" s="707">
        <f>Deals!AC4</f>
        <v>65</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-25</v>
      </c>
      <c r="K10" s="197">
        <f t="array" aca="1" ref="K10" ca="1">SUM(IF((DelPoint= "4C")*IF((DType = "firm")+(DType = "econ")&gt;0,1,0)*(OFFSET(DelPoint,0,K3+2)&lt;0),OFFSET(DelPoint,0,K3+2),0))</f>
        <v>0</v>
      </c>
      <c r="L10" s="197">
        <f t="array" aca="1" ref="L10" ca="1">SUM(IF((DelPoint= "4C")*IF((DType = "firm")+(DType = "econ")&gt;0,1,0)*(OFFSET(DelPoint,0,L3+2)&lt;0),OFFSET(DelPoint,0,L3+2),0))</f>
        <v>-20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-38</v>
      </c>
      <c r="J14" s="199">
        <f t="array" aca="1" ref="J14" ca="1">SUM(IF((DelPoint= "PV")*IF((DType = "firm")+(DType = "econ")&gt;0,1,0)*(OFFSET(DelPoint,0,J3+2)&lt;0),OFFSET(DelPoint,0,J3+2),0))</f>
        <v>-50</v>
      </c>
      <c r="K14" s="199">
        <f t="array" aca="1" ref="K14" ca="1">SUM(IF((DelPoint= "PV")*IF((DType = "firm")+(DType = "econ")&gt;0,1,0)*(OFFSET(DelPoint,0,K3+2)&lt;0),OFFSET(DelPoint,0,K3+2),0))</f>
        <v>-20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-100</v>
      </c>
      <c r="C18" s="483">
        <f>Deals!G7</f>
        <v>0</v>
      </c>
      <c r="D18" s="483">
        <f>Deals!H7</f>
        <v>0</v>
      </c>
      <c r="E18" s="483">
        <f>Deals!I7</f>
        <v>0</v>
      </c>
      <c r="F18" s="483">
        <f>Deals!J7</f>
        <v>0</v>
      </c>
      <c r="G18" s="483">
        <f>Deals!K7</f>
        <v>-30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-30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84</v>
      </c>
      <c r="D22" s="418">
        <f>Deals!H3</f>
        <v>84</v>
      </c>
      <c r="E22" s="418">
        <f>Deals!I3</f>
        <v>84</v>
      </c>
      <c r="F22" s="418">
        <f>Deals!J3</f>
        <v>84</v>
      </c>
      <c r="G22" s="418">
        <f>Deals!K3</f>
        <v>84</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108</v>
      </c>
      <c r="S22" s="418">
        <f>Deals!W3</f>
        <v>108</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55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55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100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934</v>
      </c>
      <c r="C38" s="674">
        <f t="shared" ca="1" si="4"/>
        <v>814</v>
      </c>
      <c r="D38" s="674">
        <f t="shared" ca="1" si="4"/>
        <v>813</v>
      </c>
      <c r="E38" s="674">
        <f t="shared" ca="1" si="4"/>
        <v>826</v>
      </c>
      <c r="F38" s="674">
        <f t="shared" ca="1" si="4"/>
        <v>825</v>
      </c>
      <c r="G38" s="674">
        <f t="shared" ca="1" si="4"/>
        <v>925</v>
      </c>
      <c r="H38" s="674">
        <f t="shared" ca="1" si="4"/>
        <v>1006</v>
      </c>
      <c r="I38" s="674">
        <f t="shared" ca="1" si="4"/>
        <v>1119</v>
      </c>
      <c r="J38" s="674">
        <f t="shared" ca="1" si="4"/>
        <v>1125</v>
      </c>
      <c r="K38" s="674">
        <f t="shared" ca="1" si="4"/>
        <v>1117</v>
      </c>
      <c r="L38" s="674">
        <f t="shared" ca="1" si="4"/>
        <v>1096</v>
      </c>
      <c r="M38" s="674">
        <f t="shared" ca="1" si="4"/>
        <v>1081</v>
      </c>
      <c r="N38" s="674">
        <f t="shared" ca="1" si="4"/>
        <v>1062</v>
      </c>
      <c r="O38" s="674">
        <f t="shared" ca="1" si="4"/>
        <v>1056</v>
      </c>
      <c r="P38" s="674">
        <f t="shared" ca="1" si="4"/>
        <v>1041</v>
      </c>
      <c r="Q38" s="674">
        <f t="shared" ca="1" si="4"/>
        <v>1034</v>
      </c>
      <c r="R38" s="674">
        <f t="shared" ca="1" si="4"/>
        <v>1015</v>
      </c>
      <c r="S38" s="674">
        <f t="shared" ca="1" si="4"/>
        <v>1055</v>
      </c>
      <c r="T38" s="674">
        <f t="shared" ca="1" si="4"/>
        <v>1128</v>
      </c>
      <c r="U38" s="674">
        <f t="shared" ca="1" si="4"/>
        <v>1102</v>
      </c>
      <c r="V38" s="674">
        <f t="shared" ca="1" si="4"/>
        <v>1102</v>
      </c>
      <c r="W38" s="674">
        <f t="shared" ca="1" si="4"/>
        <v>1076</v>
      </c>
      <c r="X38" s="674">
        <f t="shared" ca="1" si="4"/>
        <v>997</v>
      </c>
      <c r="Y38" s="675">
        <f t="shared" ca="1" si="4"/>
        <v>894</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35</v>
      </c>
      <c r="C42" s="592">
        <v>40</v>
      </c>
      <c r="D42" s="592">
        <v>34</v>
      </c>
      <c r="E42" s="593">
        <v>36</v>
      </c>
      <c r="F42" s="592">
        <v>32</v>
      </c>
      <c r="G42" s="592">
        <v>36</v>
      </c>
      <c r="H42" s="592">
        <v>34</v>
      </c>
      <c r="I42" s="592">
        <v>34</v>
      </c>
      <c r="J42" s="592">
        <v>34</v>
      </c>
      <c r="K42" s="592">
        <v>33</v>
      </c>
      <c r="L42" s="592">
        <v>34</v>
      </c>
      <c r="M42" s="592">
        <v>34</v>
      </c>
      <c r="N42" s="592">
        <v>35</v>
      </c>
      <c r="O42" s="592">
        <v>35</v>
      </c>
      <c r="P42" s="592">
        <v>35</v>
      </c>
      <c r="Q42" s="592">
        <v>36</v>
      </c>
      <c r="R42" s="592">
        <v>34</v>
      </c>
      <c r="S42" s="592">
        <v>34</v>
      </c>
      <c r="T42" s="592">
        <v>34</v>
      </c>
      <c r="U42" s="592">
        <v>34</v>
      </c>
      <c r="V42" s="592">
        <v>35</v>
      </c>
      <c r="W42" s="592">
        <v>35</v>
      </c>
      <c r="X42" s="592">
        <v>35</v>
      </c>
      <c r="Y42" s="592">
        <v>33</v>
      </c>
      <c r="Z42" s="350">
        <v>78</v>
      </c>
      <c r="AA42" s="210">
        <f ca="1">-Economics!D35/Economics!I35</f>
        <v>9035.4721380739793</v>
      </c>
    </row>
    <row r="43" spans="1:33" s="161" customFormat="1" ht="12.75" customHeight="1" x14ac:dyDescent="0.2">
      <c r="A43" s="591" t="s">
        <v>131</v>
      </c>
      <c r="B43" s="595">
        <v>54</v>
      </c>
      <c r="C43" s="595">
        <v>79</v>
      </c>
      <c r="D43" s="595">
        <v>89</v>
      </c>
      <c r="E43" s="596">
        <v>93</v>
      </c>
      <c r="F43" s="595">
        <v>99</v>
      </c>
      <c r="G43" s="595">
        <v>90</v>
      </c>
      <c r="H43" s="595">
        <v>35</v>
      </c>
      <c r="I43" s="595">
        <v>58</v>
      </c>
      <c r="J43" s="595">
        <v>37</v>
      </c>
      <c r="K43" s="595">
        <v>35</v>
      </c>
      <c r="L43" s="595">
        <v>35</v>
      </c>
      <c r="M43" s="595">
        <v>35</v>
      </c>
      <c r="N43" s="595">
        <v>34</v>
      </c>
      <c r="O43" s="595">
        <v>36</v>
      </c>
      <c r="P43" s="595">
        <v>34</v>
      </c>
      <c r="Q43" s="595">
        <v>36</v>
      </c>
      <c r="R43" s="595">
        <v>36</v>
      </c>
      <c r="S43" s="595">
        <v>36</v>
      </c>
      <c r="T43" s="595">
        <v>36</v>
      </c>
      <c r="U43" s="595">
        <v>47</v>
      </c>
      <c r="V43" s="595">
        <v>35</v>
      </c>
      <c r="W43" s="595">
        <v>50</v>
      </c>
      <c r="X43" s="595">
        <v>34</v>
      </c>
      <c r="Y43" s="595">
        <v>79</v>
      </c>
      <c r="Z43" s="352">
        <v>103</v>
      </c>
      <c r="AA43" s="211">
        <f ca="1">-Economics!D36/Economics!I36</f>
        <v>12981.029775191328</v>
      </c>
    </row>
    <row r="44" spans="1:33" s="161" customFormat="1" ht="12.75" customHeight="1" x14ac:dyDescent="0.2">
      <c r="A44" s="590" t="s">
        <v>49</v>
      </c>
      <c r="B44" s="592"/>
      <c r="C44" s="592">
        <v>21</v>
      </c>
      <c r="D44" s="592">
        <v>20</v>
      </c>
      <c r="E44" s="592">
        <v>20</v>
      </c>
      <c r="F44" s="592">
        <v>21</v>
      </c>
      <c r="G44" s="592">
        <v>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c r="Y44" s="594">
        <v>0</v>
      </c>
      <c r="Z44" s="350">
        <v>40</v>
      </c>
      <c r="AA44" s="210">
        <f ca="1">-Economics!D37/Economics!I37</f>
        <v>1405.5493413185586</v>
      </c>
    </row>
    <row r="45" spans="1:33" s="161" customFormat="1" ht="12.75" customHeight="1" x14ac:dyDescent="0.2">
      <c r="A45" s="590" t="s">
        <v>50</v>
      </c>
      <c r="B45" s="592"/>
      <c r="C45" s="592">
        <v>20</v>
      </c>
      <c r="D45" s="592">
        <v>15</v>
      </c>
      <c r="E45" s="592">
        <v>15</v>
      </c>
      <c r="F45" s="592">
        <v>15</v>
      </c>
      <c r="G45" s="592">
        <v>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c r="Y45" s="594">
        <v>0</v>
      </c>
      <c r="Z45" s="350">
        <v>40</v>
      </c>
      <c r="AA45" s="210">
        <f ca="1">-Economics!D38/Economics!I38</f>
        <v>1231.9423130580358</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90</v>
      </c>
      <c r="C48" s="595">
        <v>0</v>
      </c>
      <c r="D48" s="595">
        <v>0</v>
      </c>
      <c r="E48" s="595">
        <v>0</v>
      </c>
      <c r="F48" s="595">
        <v>0</v>
      </c>
      <c r="G48" s="595">
        <v>114</v>
      </c>
      <c r="H48" s="595">
        <v>199</v>
      </c>
      <c r="I48" s="595">
        <v>216</v>
      </c>
      <c r="J48" s="595">
        <v>167</v>
      </c>
      <c r="K48" s="595">
        <v>212</v>
      </c>
      <c r="L48" s="595">
        <v>199</v>
      </c>
      <c r="M48" s="595">
        <v>195</v>
      </c>
      <c r="N48" s="595">
        <v>177</v>
      </c>
      <c r="O48" s="595">
        <v>170</v>
      </c>
      <c r="P48" s="595">
        <v>161</v>
      </c>
      <c r="Q48" s="595">
        <v>145</v>
      </c>
      <c r="R48" s="595">
        <v>133</v>
      </c>
      <c r="S48" s="595">
        <v>122</v>
      </c>
      <c r="T48" s="595">
        <v>166</v>
      </c>
      <c r="U48" s="595">
        <v>168</v>
      </c>
      <c r="V48" s="595">
        <v>164</v>
      </c>
      <c r="W48" s="595">
        <v>177</v>
      </c>
      <c r="X48" s="595">
        <v>138</v>
      </c>
      <c r="Y48" s="595">
        <v>91</v>
      </c>
      <c r="Z48" s="352">
        <v>212</v>
      </c>
      <c r="AA48" s="211">
        <f ca="1">-Economics!D41/Economics!I41</f>
        <v>0</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202</v>
      </c>
      <c r="E53" s="592">
        <v>202</v>
      </c>
      <c r="F53" s="592">
        <v>202</v>
      </c>
      <c r="G53" s="592">
        <v>201</v>
      </c>
      <c r="H53" s="592">
        <v>202</v>
      </c>
      <c r="I53" s="592">
        <v>202</v>
      </c>
      <c r="J53" s="592">
        <v>202</v>
      </c>
      <c r="K53" s="592">
        <v>202</v>
      </c>
      <c r="L53" s="592">
        <v>202</v>
      </c>
      <c r="M53" s="592">
        <v>201</v>
      </c>
      <c r="N53" s="592">
        <v>202</v>
      </c>
      <c r="O53" s="592">
        <v>201</v>
      </c>
      <c r="P53" s="592">
        <v>201</v>
      </c>
      <c r="Q53" s="592">
        <v>201</v>
      </c>
      <c r="R53" s="592">
        <v>201</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202</v>
      </c>
      <c r="C54" s="592">
        <v>201</v>
      </c>
      <c r="D54" s="592">
        <v>202</v>
      </c>
      <c r="E54" s="592">
        <v>202</v>
      </c>
      <c r="F54" s="592">
        <v>202</v>
      </c>
      <c r="G54" s="592">
        <v>202</v>
      </c>
      <c r="H54" s="592">
        <v>202</v>
      </c>
      <c r="I54" s="592">
        <v>202</v>
      </c>
      <c r="J54" s="592">
        <v>202</v>
      </c>
      <c r="K54" s="592">
        <v>202</v>
      </c>
      <c r="L54" s="592">
        <v>202</v>
      </c>
      <c r="M54" s="592">
        <v>201</v>
      </c>
      <c r="N54" s="592">
        <v>202</v>
      </c>
      <c r="O54" s="592">
        <v>201</v>
      </c>
      <c r="P54" s="592">
        <v>201</v>
      </c>
      <c r="Q54" s="592">
        <v>201</v>
      </c>
      <c r="R54" s="592">
        <v>201</v>
      </c>
      <c r="S54" s="592">
        <v>201</v>
      </c>
      <c r="T54" s="592">
        <v>201</v>
      </c>
      <c r="U54" s="592">
        <v>200</v>
      </c>
      <c r="V54" s="592">
        <v>201</v>
      </c>
      <c r="W54" s="592">
        <v>201</v>
      </c>
      <c r="X54" s="592">
        <v>201</v>
      </c>
      <c r="Y54" s="592">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202</v>
      </c>
      <c r="K55" s="592">
        <v>202</v>
      </c>
      <c r="L55" s="592">
        <v>202</v>
      </c>
      <c r="M55" s="592">
        <v>201</v>
      </c>
      <c r="N55" s="592">
        <v>202</v>
      </c>
      <c r="O55" s="592">
        <v>201</v>
      </c>
      <c r="P55" s="592">
        <v>201</v>
      </c>
      <c r="Q55" s="592">
        <v>201</v>
      </c>
      <c r="R55" s="592">
        <v>201</v>
      </c>
      <c r="S55" s="592">
        <v>201</v>
      </c>
      <c r="T55" s="592">
        <v>201</v>
      </c>
      <c r="U55" s="592">
        <v>200</v>
      </c>
      <c r="V55" s="592">
        <v>201</v>
      </c>
      <c r="W55" s="592">
        <v>201</v>
      </c>
      <c r="X55" s="592">
        <v>201</v>
      </c>
      <c r="Y55" s="592">
        <v>201</v>
      </c>
      <c r="Z55" s="350">
        <v>198</v>
      </c>
      <c r="AA55" s="208"/>
    </row>
    <row r="56" spans="1:27" s="161" customFormat="1" ht="12" customHeight="1" x14ac:dyDescent="0.2">
      <c r="A56" s="590" t="s">
        <v>124</v>
      </c>
      <c r="B56" s="592">
        <v>52</v>
      </c>
      <c r="C56" s="592">
        <v>52</v>
      </c>
      <c r="D56" s="592">
        <v>52</v>
      </c>
      <c r="E56" s="592">
        <v>52</v>
      </c>
      <c r="F56" s="592">
        <v>52</v>
      </c>
      <c r="G56" s="592">
        <v>50</v>
      </c>
      <c r="H56" s="592">
        <v>50</v>
      </c>
      <c r="I56" s="592">
        <v>50</v>
      </c>
      <c r="J56" s="592">
        <v>49</v>
      </c>
      <c r="K56" s="592">
        <v>50</v>
      </c>
      <c r="L56" s="592">
        <v>50</v>
      </c>
      <c r="M56" s="592">
        <v>52</v>
      </c>
      <c r="N56" s="592">
        <v>50</v>
      </c>
      <c r="O56" s="592">
        <v>50</v>
      </c>
      <c r="P56" s="592">
        <v>50</v>
      </c>
      <c r="Q56" s="592">
        <v>50</v>
      </c>
      <c r="R56" s="592">
        <v>50</v>
      </c>
      <c r="S56" s="592">
        <v>50</v>
      </c>
      <c r="T56" s="592">
        <v>50</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2</v>
      </c>
      <c r="C58" s="696">
        <f t="shared" ref="C58:I58" ca="1" si="5">C59-C38</f>
        <v>2</v>
      </c>
      <c r="D58" s="696">
        <f t="shared" ca="1" si="5"/>
        <v>3</v>
      </c>
      <c r="E58" s="696">
        <f t="shared" ca="1" si="5"/>
        <v>-4</v>
      </c>
      <c r="F58" s="696">
        <f t="shared" ca="1" si="5"/>
        <v>0</v>
      </c>
      <c r="G58" s="696">
        <f ca="1">G59-G38</f>
        <v>0</v>
      </c>
      <c r="H58" s="696">
        <f t="shared" ca="1" si="5"/>
        <v>-2</v>
      </c>
      <c r="I58" s="696">
        <f t="shared" ca="1" si="5"/>
        <v>38</v>
      </c>
      <c r="J58" s="696">
        <f t="shared" ref="J58:Y58" ca="1" si="6">J59-J38</f>
        <v>-2</v>
      </c>
      <c r="K58" s="696">
        <f t="shared" ca="1" si="6"/>
        <v>-6</v>
      </c>
      <c r="L58" s="696">
        <f t="shared" ca="1" si="6"/>
        <v>3</v>
      </c>
      <c r="M58" s="696">
        <f t="shared" ca="1" si="6"/>
        <v>-7</v>
      </c>
      <c r="N58" s="696">
        <f t="shared" ca="1" si="6"/>
        <v>-5</v>
      </c>
      <c r="O58" s="696">
        <f t="shared" ca="1" si="6"/>
        <v>-7</v>
      </c>
      <c r="P58" s="696">
        <f t="shared" ca="1" si="6"/>
        <v>-3</v>
      </c>
      <c r="Q58" s="696">
        <f t="shared" ca="1" si="6"/>
        <v>-9</v>
      </c>
      <c r="R58" s="696">
        <f t="shared" ca="1" si="6"/>
        <v>-4</v>
      </c>
      <c r="S58" s="696">
        <f t="shared" ca="1" si="6"/>
        <v>-2</v>
      </c>
      <c r="T58" s="696">
        <f t="shared" ca="1" si="6"/>
        <v>-6</v>
      </c>
      <c r="U58" s="696">
        <f t="shared" ca="1" si="6"/>
        <v>7</v>
      </c>
      <c r="V58" s="696">
        <f t="shared" ca="1" si="6"/>
        <v>-5</v>
      </c>
      <c r="W58" s="696">
        <f t="shared" ca="1" si="6"/>
        <v>-4</v>
      </c>
      <c r="X58" s="696">
        <f t="shared" ca="1" si="6"/>
        <v>20</v>
      </c>
      <c r="Y58" s="697">
        <f t="shared" ca="1" si="6"/>
        <v>-6</v>
      </c>
      <c r="Z58" s="351">
        <f ca="1">SUM(Z41:Z55)+Z41+Z42+Z43+Z48+Z49+Z50+Z51+Z52</f>
        <v>2416</v>
      </c>
      <c r="AA58" s="209">
        <f ca="1">SUM(AA41:AA55)</f>
        <v>24653.993567641901</v>
      </c>
    </row>
    <row r="59" spans="1:27" s="161" customFormat="1" ht="12" x14ac:dyDescent="0.2">
      <c r="A59" s="548">
        <v>0</v>
      </c>
      <c r="B59" s="549">
        <f t="shared" ref="B59:I59" ca="1" si="7">SUM(B41:B57)-SUM(B7:B20)</f>
        <v>936</v>
      </c>
      <c r="C59" s="549">
        <f t="shared" ca="1" si="7"/>
        <v>816</v>
      </c>
      <c r="D59" s="549">
        <f t="shared" ca="1" si="7"/>
        <v>816</v>
      </c>
      <c r="E59" s="549">
        <f t="shared" ca="1" si="7"/>
        <v>822</v>
      </c>
      <c r="F59" s="549">
        <f t="shared" ca="1" si="7"/>
        <v>825</v>
      </c>
      <c r="G59" s="549">
        <f t="shared" ca="1" si="7"/>
        <v>925</v>
      </c>
      <c r="H59" s="549">
        <f t="shared" ca="1" si="7"/>
        <v>1004</v>
      </c>
      <c r="I59" s="549">
        <f t="shared" ca="1" si="7"/>
        <v>1157</v>
      </c>
      <c r="J59" s="549">
        <f t="shared" ref="J59:Y59" ca="1" si="8">SUM(J41:J57)-SUM(J7:J20)</f>
        <v>1123</v>
      </c>
      <c r="K59" s="549">
        <f t="shared" ca="1" si="8"/>
        <v>1111</v>
      </c>
      <c r="L59" s="549">
        <f t="shared" ca="1" si="8"/>
        <v>1099</v>
      </c>
      <c r="M59" s="549">
        <f t="shared" ca="1" si="8"/>
        <v>1074</v>
      </c>
      <c r="N59" s="549">
        <f t="shared" ca="1" si="8"/>
        <v>1057</v>
      </c>
      <c r="O59" s="549">
        <f t="shared" ca="1" si="8"/>
        <v>1049</v>
      </c>
      <c r="P59" s="549">
        <f t="shared" ca="1" si="8"/>
        <v>1038</v>
      </c>
      <c r="Q59" s="549">
        <f t="shared" ca="1" si="8"/>
        <v>1025</v>
      </c>
      <c r="R59" s="549">
        <f t="shared" ca="1" si="8"/>
        <v>1011</v>
      </c>
      <c r="S59" s="549">
        <f t="shared" ca="1" si="8"/>
        <v>1053</v>
      </c>
      <c r="T59" s="549">
        <f t="shared" ca="1" si="8"/>
        <v>1122</v>
      </c>
      <c r="U59" s="549">
        <f ca="1">SUM(U41:U57)-SUM(U7:U20)</f>
        <v>1109</v>
      </c>
      <c r="V59" s="549">
        <f t="shared" ca="1" si="8"/>
        <v>1097</v>
      </c>
      <c r="W59" s="549">
        <f t="shared" ca="1" si="8"/>
        <v>1072</v>
      </c>
      <c r="X59" s="549">
        <f t="shared" ca="1" si="8"/>
        <v>1017</v>
      </c>
      <c r="Y59" s="549">
        <f t="shared" ca="1" si="8"/>
        <v>888</v>
      </c>
      <c r="Z59" s="213">
        <f ca="1">SUM(Economics!D28:D45)</f>
        <v>-152684.35187257815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100</v>
      </c>
      <c r="C61" s="169">
        <f t="shared" ca="1" si="9"/>
        <v>0</v>
      </c>
      <c r="D61" s="169">
        <f t="shared" ca="1" si="9"/>
        <v>0</v>
      </c>
      <c r="E61" s="169">
        <f ca="1">IF(-SUM(E18:E20,E35:E37)&gt;134,"err",-SUM(E18:E20,))</f>
        <v>0</v>
      </c>
      <c r="F61" s="169">
        <f t="shared" ca="1" si="9"/>
        <v>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7" t="s">
        <v>138</v>
      </c>
      <c r="AA61" s="218" t="e">
        <f ca="1">AA59</f>
        <v>#N/A</v>
      </c>
    </row>
    <row r="62" spans="1:27" s="161" customFormat="1" ht="30" customHeight="1" thickTop="1" x14ac:dyDescent="0.2">
      <c r="A62" s="193" t="s">
        <v>139</v>
      </c>
      <c r="B62" s="169">
        <f t="shared" ref="B62:Y62" ca="1" si="10">-SUM(B11:B14,B29:B32,B22) + SUM(B53:B55)</f>
        <v>421</v>
      </c>
      <c r="C62" s="169">
        <f t="shared" ca="1" si="10"/>
        <v>520</v>
      </c>
      <c r="D62" s="169">
        <f t="shared" ca="1" si="10"/>
        <v>522</v>
      </c>
      <c r="E62" s="169">
        <f t="shared" ca="1" si="10"/>
        <v>522</v>
      </c>
      <c r="F62" s="169">
        <f t="shared" ca="1" si="10"/>
        <v>522</v>
      </c>
      <c r="G62" s="169">
        <f t="shared" ca="1" si="10"/>
        <v>521</v>
      </c>
      <c r="H62" s="169">
        <f t="shared" ca="1" si="10"/>
        <v>522</v>
      </c>
      <c r="I62" s="169">
        <f t="shared" ca="1" si="10"/>
        <v>561</v>
      </c>
      <c r="J62" s="169">
        <f t="shared" ca="1" si="10"/>
        <v>573</v>
      </c>
      <c r="K62" s="169">
        <f t="shared" ca="1" si="10"/>
        <v>543</v>
      </c>
      <c r="L62" s="169">
        <f t="shared" ca="1" si="10"/>
        <v>523</v>
      </c>
      <c r="M62" s="169">
        <f t="shared" ca="1" si="10"/>
        <v>520</v>
      </c>
      <c r="N62" s="169">
        <f t="shared" ca="1" si="10"/>
        <v>523</v>
      </c>
      <c r="O62" s="169">
        <f t="shared" ca="1" si="10"/>
        <v>520</v>
      </c>
      <c r="P62" s="169">
        <f t="shared" ca="1" si="10"/>
        <v>520</v>
      </c>
      <c r="Q62" s="169">
        <f t="shared" ca="1" si="10"/>
        <v>520</v>
      </c>
      <c r="R62" s="169">
        <f t="shared" ca="1" si="10"/>
        <v>520</v>
      </c>
      <c r="S62" s="169">
        <f t="shared" ca="1" si="10"/>
        <v>520</v>
      </c>
      <c r="T62" s="169">
        <f t="shared" ca="1" si="10"/>
        <v>520</v>
      </c>
      <c r="U62" s="169">
        <f t="shared" ca="1" si="10"/>
        <v>517</v>
      </c>
      <c r="V62" s="169">
        <f t="shared" ca="1" si="10"/>
        <v>520</v>
      </c>
      <c r="W62" s="169">
        <f t="shared" ca="1" si="10"/>
        <v>520</v>
      </c>
      <c r="X62" s="169">
        <f t="shared" ca="1" si="10"/>
        <v>520</v>
      </c>
      <c r="Y62" s="170">
        <f t="shared" ca="1" si="10"/>
        <v>519</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27</v>
      </c>
      <c r="F63" s="169">
        <f t="shared" ca="1" si="11"/>
        <v>27</v>
      </c>
      <c r="G63" s="169">
        <f t="shared" ca="1" si="11"/>
        <v>-5</v>
      </c>
      <c r="H63" s="169">
        <f t="shared" ca="1" si="11"/>
        <v>45</v>
      </c>
      <c r="I63" s="169">
        <f t="shared" ca="1" si="11"/>
        <v>20</v>
      </c>
      <c r="J63" s="169">
        <f t="shared" ca="1" si="11"/>
        <v>44</v>
      </c>
      <c r="K63" s="169">
        <f t="shared" ca="1" si="11"/>
        <v>20</v>
      </c>
      <c r="L63" s="169">
        <f t="shared" ca="1" si="11"/>
        <v>40</v>
      </c>
      <c r="M63" s="169">
        <f ca="1">-SUM(M8:M10,M25:M28) + SUM(M57:M57)</f>
        <v>-30</v>
      </c>
      <c r="N63" s="169">
        <f t="shared" ref="N63:Y63" ca="1" si="12">-SUM(N8:N10,N25:N28) + SUM(N56:N57)</f>
        <v>20</v>
      </c>
      <c r="O63" s="169">
        <f t="shared" ca="1" si="12"/>
        <v>20</v>
      </c>
      <c r="P63" s="169">
        <f t="shared" ca="1" si="12"/>
        <v>20</v>
      </c>
      <c r="Q63" s="169">
        <f t="shared" ca="1" si="12"/>
        <v>20</v>
      </c>
      <c r="R63" s="169">
        <f t="shared" ca="1" si="12"/>
        <v>20</v>
      </c>
      <c r="S63" s="169">
        <f t="shared" ca="1" si="12"/>
        <v>20</v>
      </c>
      <c r="T63" s="169">
        <f t="shared" ca="1" si="12"/>
        <v>45</v>
      </c>
      <c r="U63" s="169">
        <f t="shared" ca="1" si="12"/>
        <v>22</v>
      </c>
      <c r="V63" s="169">
        <f t="shared" ca="1" si="12"/>
        <v>22</v>
      </c>
      <c r="W63" s="169">
        <f t="shared" ca="1" si="12"/>
        <v>22</v>
      </c>
      <c r="X63" s="169">
        <f t="shared" ca="1" si="12"/>
        <v>22</v>
      </c>
      <c r="Y63" s="170">
        <f t="shared" ca="1" si="12"/>
        <v>-3</v>
      </c>
      <c r="Z63" s="191"/>
      <c r="AA63" s="162"/>
    </row>
    <row r="64" spans="1:27" s="161" customFormat="1" ht="12" x14ac:dyDescent="0.2">
      <c r="A64" s="193" t="s">
        <v>141</v>
      </c>
      <c r="B64" s="169">
        <f ca="1">IF(B62+B63&gt;645,"err",B62+B63)</f>
        <v>448</v>
      </c>
      <c r="C64" s="169">
        <f t="shared" ref="C64:Y64" ca="1" si="13">IF(C62+C63&gt;645,"err",C62+C63)</f>
        <v>547</v>
      </c>
      <c r="D64" s="169">
        <f t="shared" ca="1" si="13"/>
        <v>549</v>
      </c>
      <c r="E64" s="169">
        <f t="shared" ca="1" si="13"/>
        <v>549</v>
      </c>
      <c r="F64" s="169">
        <f t="shared" ca="1" si="13"/>
        <v>549</v>
      </c>
      <c r="G64" s="169">
        <f t="shared" ca="1" si="13"/>
        <v>516</v>
      </c>
      <c r="H64" s="169">
        <f t="shared" ca="1" si="13"/>
        <v>567</v>
      </c>
      <c r="I64" s="169">
        <f t="shared" ca="1" si="13"/>
        <v>581</v>
      </c>
      <c r="J64" s="169">
        <f t="shared" ca="1" si="13"/>
        <v>617</v>
      </c>
      <c r="K64" s="169">
        <f t="shared" ca="1" si="13"/>
        <v>563</v>
      </c>
      <c r="L64" s="169">
        <f t="shared" ca="1" si="13"/>
        <v>563</v>
      </c>
      <c r="M64" s="169">
        <f t="shared" ca="1" si="13"/>
        <v>490</v>
      </c>
      <c r="N64" s="169">
        <f t="shared" ca="1" si="13"/>
        <v>543</v>
      </c>
      <c r="O64" s="169">
        <f t="shared" ca="1" si="13"/>
        <v>540</v>
      </c>
      <c r="P64" s="169">
        <f t="shared" ca="1" si="13"/>
        <v>540</v>
      </c>
      <c r="Q64" s="169">
        <f t="shared" ca="1" si="13"/>
        <v>540</v>
      </c>
      <c r="R64" s="169">
        <f t="shared" ca="1" si="13"/>
        <v>540</v>
      </c>
      <c r="S64" s="169">
        <f t="shared" ca="1" si="13"/>
        <v>540</v>
      </c>
      <c r="T64" s="169">
        <f t="shared" ca="1" si="13"/>
        <v>565</v>
      </c>
      <c r="U64" s="169">
        <f t="shared" ca="1" si="13"/>
        <v>539</v>
      </c>
      <c r="V64" s="169">
        <f t="shared" ca="1" si="13"/>
        <v>542</v>
      </c>
      <c r="W64" s="169">
        <f t="shared" ca="1" si="13"/>
        <v>542</v>
      </c>
      <c r="X64" s="169">
        <f t="shared" ca="1" si="13"/>
        <v>542</v>
      </c>
      <c r="Y64" s="170">
        <f t="shared" ca="1" si="13"/>
        <v>516</v>
      </c>
      <c r="Z64" s="192"/>
      <c r="AA64" s="162"/>
    </row>
    <row r="65" spans="1:27" s="161" customFormat="1" ht="12" x14ac:dyDescent="0.2">
      <c r="A65" s="193" t="s">
        <v>18</v>
      </c>
      <c r="B65" s="169">
        <f ca="1">SUM(B61:B63)</f>
        <v>548</v>
      </c>
      <c r="C65" s="169">
        <f t="shared" ref="C65:Y65" ca="1" si="14">SUM(C61:C63)</f>
        <v>547</v>
      </c>
      <c r="D65" s="169">
        <f t="shared" ca="1" si="14"/>
        <v>549</v>
      </c>
      <c r="E65" s="169">
        <f t="shared" ca="1" si="14"/>
        <v>549</v>
      </c>
      <c r="F65" s="169">
        <f t="shared" ca="1" si="14"/>
        <v>549</v>
      </c>
      <c r="G65" s="169">
        <f t="shared" ca="1" si="14"/>
        <v>546</v>
      </c>
      <c r="H65" s="169">
        <f t="shared" ca="1" si="14"/>
        <v>597</v>
      </c>
      <c r="I65" s="169">
        <f t="shared" ca="1" si="14"/>
        <v>661</v>
      </c>
      <c r="J65" s="169">
        <f t="shared" ca="1" si="14"/>
        <v>697</v>
      </c>
      <c r="K65" s="169">
        <f t="shared" ca="1" si="14"/>
        <v>643</v>
      </c>
      <c r="L65" s="169">
        <f t="shared" ca="1" si="14"/>
        <v>643</v>
      </c>
      <c r="M65" s="169">
        <f t="shared" ca="1" si="14"/>
        <v>570</v>
      </c>
      <c r="N65" s="169">
        <f t="shared" ca="1" si="14"/>
        <v>623</v>
      </c>
      <c r="O65" s="169">
        <f t="shared" ca="1" si="14"/>
        <v>620</v>
      </c>
      <c r="P65" s="169">
        <f t="shared" ca="1" si="14"/>
        <v>620</v>
      </c>
      <c r="Q65" s="169">
        <f t="shared" ca="1" si="14"/>
        <v>620</v>
      </c>
      <c r="R65" s="169">
        <f t="shared" ca="1" si="14"/>
        <v>620</v>
      </c>
      <c r="S65" s="169">
        <f t="shared" ca="1" si="14"/>
        <v>673</v>
      </c>
      <c r="T65" s="169">
        <f t="shared" ca="1" si="14"/>
        <v>698</v>
      </c>
      <c r="U65" s="169">
        <f t="shared" ca="1" si="14"/>
        <v>672</v>
      </c>
      <c r="V65" s="169">
        <f t="shared" ca="1" si="14"/>
        <v>675</v>
      </c>
      <c r="W65" s="169">
        <f t="shared" ca="1" si="14"/>
        <v>622</v>
      </c>
      <c r="X65" s="169">
        <f t="shared" ca="1" si="14"/>
        <v>622</v>
      </c>
      <c r="Y65" s="170">
        <f t="shared" ca="1" si="14"/>
        <v>546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203</v>
      </c>
      <c r="C67" s="169">
        <f t="array" ref="C67">SUM(IF(C$41:C$55 = 0,0,$Z$41:$Z$55-C$41:C$55))-INDEX(Balancing!$R$4:$R$27,C$3)</f>
        <v>91</v>
      </c>
      <c r="D67" s="169">
        <f t="array" ref="D67">SUM(IF(D$41:D$55 = 0,0,$Z$41:$Z$55-D$41:D$55))-INDEX(Balancing!$R$4:$R$27,D$3)</f>
        <v>91</v>
      </c>
      <c r="E67" s="169">
        <f t="array" ref="E67">SUM(IF(E$41:E$55 = 0,0,$Z$41:$Z$55-E$41:E$55))-INDEX(Balancing!$R$4:$R$27,E$3)</f>
        <v>85</v>
      </c>
      <c r="F67" s="169">
        <f t="array" ref="F67">SUM(IF(F$41:F$55 = 0,0,$Z$41:$Z$55-F$41:F$55))-INDEX(Balancing!$R$4:$R$27,F$3)</f>
        <v>82</v>
      </c>
      <c r="G67" s="169">
        <f t="array" ref="G67">SUM(IF(G$41:G$55 = 0,0,$Z$41:$Z$55-G$41:G$55))-INDEX(Balancing!$R$4:$R$27,G$3)</f>
        <v>142</v>
      </c>
      <c r="H67" s="169">
        <f t="array" ref="H67">SUM(IF(H$41:H$55 = 0,0,$Z$41:$Z$55-H$41:H$55))-INDEX(Balancing!$R$4:$R$27,H$3)</f>
        <v>113</v>
      </c>
      <c r="I67" s="169">
        <f t="array" ref="I67">SUM(IF(I$41:I$55 = 0,0,$Z$41:$Z$55-I$41:I$55))-INDEX(Balancing!$R$4:$R$27,I$3)</f>
        <v>73</v>
      </c>
      <c r="J67" s="169">
        <f t="array" ref="J67">SUM(IF(J$41:J$55 = 0,0,$Z$41:$Z$55-J$41:J$55))-INDEX(Balancing!$R$4:$R$27,J$3)</f>
        <v>143</v>
      </c>
      <c r="K67" s="169">
        <f t="array" ref="K67">SUM(IF(K$41:K$55 = 0,0,$Z$41:$Z$55-K$41:K$55))-INDEX(Balancing!$R$4:$R$27,K$3)</f>
        <v>101</v>
      </c>
      <c r="L67" s="169">
        <f t="array" ref="L67">SUM(IF(L$41:L$55 = 0,0,$Z$41:$Z$55-L$41:L$55))-INDEX(Balancing!$R$4:$R$27,L$3)</f>
        <v>113</v>
      </c>
      <c r="M67" s="169">
        <f t="array" ref="M67">SUM(IF(M$41:M$55 = 0,0,$Z$41:$Z$55-M$41:M$55))-INDEX(Balancing!$R$4:$R$27,M$3)</f>
        <v>120</v>
      </c>
      <c r="N67" s="169">
        <v>179</v>
      </c>
      <c r="O67" s="169">
        <f t="array" ref="O67">SUM(IF(O$41:O$55 = 0,0,$Z$41:$Z$55-O$41:O$55))-INDEX(Balancing!$R$4:$R$27,O$3)</f>
        <v>143</v>
      </c>
      <c r="P67" s="169">
        <f t="array" ref="P67">SUM(IF(P$41:P$55 = 0,0,$Z$41:$Z$55-P$41:P$55))-INDEX(Balancing!$R$4:$R$27,P$3)</f>
        <v>154</v>
      </c>
      <c r="Q67" s="169">
        <f t="array" ref="Q67">SUM(IF(Q$41:Q$55 = 0,0,$Z$41:$Z$55-Q$41:Q$55))-INDEX(Balancing!$R$4:$R$27,Q$3)</f>
        <v>167</v>
      </c>
      <c r="R67" s="169">
        <f t="array" ref="R67">SUM(IF(R$41:R$55 = 0,0,$Z$41:$Z$55-R$41:R$55))-INDEX(Balancing!$R$4:$R$27,R$3)</f>
        <v>181</v>
      </c>
      <c r="S67" s="169">
        <f t="array" ref="S67">SUM(IF(S$41:S$55 = 0,0,$Z$41:$Z$55-S$41:S$55))-INDEX(Balancing!$R$4:$R$27,S$3)</f>
        <v>192</v>
      </c>
      <c r="T67" s="169">
        <f t="array" ref="T67">SUM(IF(T$41:T$55 = 0,0,$Z$41:$Z$55-T$41:T$55))-INDEX(Balancing!$R$4:$R$27,T$3)</f>
        <v>148</v>
      </c>
      <c r="U67" s="169">
        <f t="array" ref="U67">SUM(IF(U$41:U$55 = 0,0,$Z$41:$Z$55-U$41:U$55))-INDEX(Balancing!$R$4:$R$27,U$3)</f>
        <v>138</v>
      </c>
      <c r="V67" s="169">
        <f t="array" ref="V67">SUM(IF(V$41:V$55 = 0,0,$Z$41:$Z$55-V$41:V$55))-INDEX(Balancing!$R$4:$R$27,V$3)</f>
        <v>150</v>
      </c>
      <c r="W67" s="169">
        <f t="array" ref="W67">SUM(IF(W$41:W$55 = 0,0,$Z$41:$Z$55-W$41:W$55))-INDEX(Balancing!$R$4:$R$27,W$3)</f>
        <v>122</v>
      </c>
      <c r="X67" s="169">
        <f t="array" ref="X67">SUM(IF(X$41:X$55 = 0,0,$Z$41:$Z$55-X$41:X$55))-INDEX(Balancing!$R$4:$R$27,X$3)</f>
        <v>177</v>
      </c>
      <c r="Y67" s="170">
        <f t="array" ref="Y67">SUM(IF(Y$41:Y$55 = 0,0,$Z$41:$Z$55-Y$41:Y$55))-INDEX(Balancing!$R$4:$R$27,Y$3)</f>
        <v>181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47</v>
      </c>
      <c r="C69" s="171">
        <f t="shared" si="15"/>
        <v>45</v>
      </c>
      <c r="D69" s="171">
        <f t="shared" si="15"/>
        <v>45</v>
      </c>
      <c r="E69" s="171">
        <f t="shared" si="15"/>
        <v>46</v>
      </c>
      <c r="F69" s="171">
        <f t="shared" si="15"/>
        <v>46</v>
      </c>
      <c r="G69" s="171">
        <f t="shared" si="15"/>
        <v>50</v>
      </c>
      <c r="H69" s="171">
        <f t="shared" ref="H69:X69" si="16">IF(H67&lt;0.07*I4,"err",ROUND(I4*0.07,0))</f>
        <v>60</v>
      </c>
      <c r="I69" s="171">
        <f t="shared" si="16"/>
        <v>60</v>
      </c>
      <c r="J69" s="171">
        <f t="shared" si="16"/>
        <v>60</v>
      </c>
      <c r="K69" s="171">
        <f t="shared" si="16"/>
        <v>58</v>
      </c>
      <c r="L69" s="171">
        <f t="shared" si="16"/>
        <v>57</v>
      </c>
      <c r="M69" s="171">
        <f t="shared" si="16"/>
        <v>56</v>
      </c>
      <c r="N69" s="171">
        <f t="shared" si="16"/>
        <v>56</v>
      </c>
      <c r="O69" s="171">
        <f t="shared" si="16"/>
        <v>55</v>
      </c>
      <c r="P69" s="171">
        <f t="shared" si="16"/>
        <v>54</v>
      </c>
      <c r="Q69" s="171">
        <f t="shared" si="16"/>
        <v>53</v>
      </c>
      <c r="R69" s="171">
        <f t="shared" si="16"/>
        <v>55</v>
      </c>
      <c r="S69" s="171">
        <f t="shared" si="16"/>
        <v>61</v>
      </c>
      <c r="T69" s="171">
        <f t="shared" si="16"/>
        <v>59</v>
      </c>
      <c r="U69" s="171">
        <f t="shared" si="16"/>
        <v>59</v>
      </c>
      <c r="V69" s="171">
        <f t="shared" si="16"/>
        <v>57</v>
      </c>
      <c r="W69" s="171">
        <f t="shared" si="16"/>
        <v>52</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209</v>
      </c>
      <c r="C78" s="462">
        <f t="shared" ca="1" si="17"/>
        <v>109</v>
      </c>
      <c r="D78" s="462">
        <f t="shared" ca="1" si="17"/>
        <v>109</v>
      </c>
      <c r="E78" s="462">
        <f ca="1">(E22+E25+E29)</f>
        <v>109</v>
      </c>
      <c r="F78" s="462">
        <f t="shared" ca="1" si="17"/>
        <v>109</v>
      </c>
      <c r="G78" s="462">
        <f ca="1">(G22+G25+G29)</f>
        <v>139</v>
      </c>
      <c r="H78" s="462">
        <f ca="1">(H22+H25+H29)</f>
        <v>139</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188</v>
      </c>
      <c r="Q78" s="462">
        <f t="shared" ca="1" si="17"/>
        <v>188</v>
      </c>
      <c r="R78" s="462">
        <f t="shared" ca="1" si="17"/>
        <v>188</v>
      </c>
      <c r="S78" s="462">
        <f t="shared" ca="1" si="17"/>
        <v>188</v>
      </c>
      <c r="T78" s="462">
        <f t="shared" ca="1" si="17"/>
        <v>188</v>
      </c>
      <c r="U78" s="462">
        <f t="shared" ca="1" si="17"/>
        <v>188</v>
      </c>
      <c r="V78" s="462">
        <f t="shared" ca="1" si="17"/>
        <v>188</v>
      </c>
      <c r="W78" s="462">
        <f t="shared" ca="1" si="17"/>
        <v>188</v>
      </c>
      <c r="X78" s="462">
        <f t="shared" ca="1" si="17"/>
        <v>188</v>
      </c>
      <c r="Y78" s="462">
        <f t="shared" ca="1" si="17"/>
        <v>139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4070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#VALUE!</v>
      </c>
    </row>
    <row r="87" spans="1:27" x14ac:dyDescent="0.2">
      <c r="X87" s="223"/>
      <c r="Y87" s="224" t="s">
        <v>163</v>
      </c>
      <c r="Z87" s="255">
        <f ca="1">SUM(Z90,Z93,Z96,Z99,Z102,Z107,Z112,Z117,Z122,Z127,Z132,Z137,Z142,Z147,Z152,Z157,Z162)</f>
        <v>240807.40789420737</v>
      </c>
    </row>
    <row r="88" spans="1:27" ht="13.5" thickBot="1" x14ac:dyDescent="0.25">
      <c r="A88" s="173" t="s">
        <v>164</v>
      </c>
      <c r="X88" s="225"/>
      <c r="Y88" s="226" t="s">
        <v>165</v>
      </c>
      <c r="Z88" s="256" t="e">
        <f ca="1">Z86-Z87</f>
        <v>#VALUE!</v>
      </c>
    </row>
    <row r="89" spans="1:27" x14ac:dyDescent="0.2">
      <c r="A89" s="227" t="str">
        <f>Economics!A28</f>
        <v>4 Corners Unit 4</v>
      </c>
      <c r="B89" s="228">
        <f t="shared" ref="B89:Y89" si="18">B56</f>
        <v>52</v>
      </c>
      <c r="C89" s="228">
        <f t="shared" si="18"/>
        <v>52</v>
      </c>
      <c r="D89" s="228">
        <f t="shared" si="18"/>
        <v>52</v>
      </c>
      <c r="E89" s="228">
        <f>E56</f>
        <v>52</v>
      </c>
      <c r="F89" s="228">
        <f t="shared" si="18"/>
        <v>52</v>
      </c>
      <c r="G89" s="228">
        <f t="shared" si="18"/>
        <v>50</v>
      </c>
      <c r="H89" s="228">
        <f t="shared" si="18"/>
        <v>50</v>
      </c>
      <c r="I89" s="228">
        <f t="shared" si="18"/>
        <v>50</v>
      </c>
      <c r="J89" s="228">
        <f t="shared" si="18"/>
        <v>49</v>
      </c>
      <c r="K89" s="228">
        <f t="shared" si="18"/>
        <v>50</v>
      </c>
      <c r="L89" s="228">
        <f t="shared" si="18"/>
        <v>50</v>
      </c>
      <c r="M89" s="228">
        <f>M57</f>
        <v>0</v>
      </c>
      <c r="N89" s="228">
        <f t="shared" si="18"/>
        <v>50</v>
      </c>
      <c r="O89" s="228">
        <f t="shared" si="18"/>
        <v>50</v>
      </c>
      <c r="P89" s="228">
        <f t="shared" si="18"/>
        <v>50</v>
      </c>
      <c r="Q89" s="228">
        <f t="shared" si="18"/>
        <v>50</v>
      </c>
      <c r="R89" s="228">
        <f t="shared" si="18"/>
        <v>50</v>
      </c>
      <c r="S89" s="228">
        <f t="shared" si="18"/>
        <v>50</v>
      </c>
      <c r="T89" s="228">
        <f t="shared" si="18"/>
        <v>50</v>
      </c>
      <c r="U89" s="228">
        <f t="shared" si="18"/>
        <v>52</v>
      </c>
      <c r="V89" s="228">
        <f t="shared" si="18"/>
        <v>52</v>
      </c>
      <c r="W89" s="228">
        <f t="shared" si="18"/>
        <v>52</v>
      </c>
      <c r="X89" s="228">
        <f t="shared" si="18"/>
        <v>52</v>
      </c>
      <c r="Y89" s="228">
        <f t="shared" si="18"/>
        <v>52</v>
      </c>
      <c r="Z89" s="257">
        <f t="array" ref="Z89">SUM(B89:Y89*Economics!F$28)</f>
        <v>15284.534720000011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-50</v>
      </c>
      <c r="E91" s="206">
        <f t="shared" si="19"/>
        <v>-50</v>
      </c>
      <c r="F91" s="206">
        <f t="shared" si="19"/>
        <v>-50</v>
      </c>
      <c r="G91" s="206">
        <f t="shared" si="19"/>
        <v>-48</v>
      </c>
      <c r="H91" s="206">
        <f t="shared" si="19"/>
        <v>2</v>
      </c>
      <c r="I91" s="206">
        <f t="shared" si="19"/>
        <v>2</v>
      </c>
      <c r="J91" s="206">
        <f t="shared" si="19"/>
        <v>3</v>
      </c>
      <c r="K91" s="206">
        <f t="shared" si="19"/>
        <v>2</v>
      </c>
      <c r="L91" s="206">
        <f t="shared" si="19"/>
        <v>53</v>
      </c>
      <c r="M91" s="206">
        <f t="shared" si="19"/>
        <v>103</v>
      </c>
      <c r="N91" s="206">
        <f t="shared" si="19"/>
        <v>53</v>
      </c>
      <c r="O91" s="206">
        <f t="shared" si="19"/>
        <v>53</v>
      </c>
      <c r="P91" s="206">
        <f t="shared" si="19"/>
        <v>53</v>
      </c>
      <c r="Q91" s="206">
        <f t="shared" si="19"/>
        <v>53</v>
      </c>
      <c r="R91" s="206">
        <f t="shared" si="19"/>
        <v>53</v>
      </c>
      <c r="S91" s="206">
        <f t="shared" si="19"/>
        <v>53</v>
      </c>
      <c r="T91" s="206">
        <f t="shared" si="19"/>
        <v>53</v>
      </c>
      <c r="U91" s="206">
        <f t="shared" si="19"/>
        <v>51</v>
      </c>
      <c r="V91" s="206">
        <f t="shared" si="19"/>
        <v>0</v>
      </c>
      <c r="W91" s="206">
        <f t="shared" si="19"/>
        <v>0</v>
      </c>
      <c r="X91" s="206">
        <f t="shared" si="19"/>
        <v>0</v>
      </c>
      <c r="Y91" s="206">
        <f t="shared" si="19"/>
        <v>0</v>
      </c>
      <c r="Z91" s="260">
        <f>Z89-Z90</f>
        <v>-5752.9471999999842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202</v>
      </c>
      <c r="F95" s="181">
        <f t="shared" si="22"/>
        <v>202</v>
      </c>
      <c r="G95" s="181">
        <f t="shared" si="22"/>
        <v>201</v>
      </c>
      <c r="H95" s="181">
        <f t="shared" si="22"/>
        <v>202</v>
      </c>
      <c r="I95" s="181">
        <f t="shared" si="22"/>
        <v>202</v>
      </c>
      <c r="J95" s="181">
        <f t="shared" si="22"/>
        <v>202</v>
      </c>
      <c r="K95" s="181">
        <f t="shared" si="22"/>
        <v>202</v>
      </c>
      <c r="L95" s="181">
        <f t="shared" si="22"/>
        <v>202</v>
      </c>
      <c r="M95" s="181">
        <f t="shared" si="22"/>
        <v>201</v>
      </c>
      <c r="N95" s="181">
        <f t="shared" si="22"/>
        <v>202</v>
      </c>
      <c r="O95" s="181">
        <f t="shared" si="22"/>
        <v>201</v>
      </c>
      <c r="P95" s="181">
        <f t="shared" si="22"/>
        <v>201</v>
      </c>
      <c r="Q95" s="181">
        <f t="shared" si="22"/>
        <v>201</v>
      </c>
      <c r="R95" s="181">
        <f t="shared" si="22"/>
        <v>201</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29455.871999999985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-2</v>
      </c>
      <c r="F97" s="206">
        <f t="shared" si="23"/>
        <v>-2</v>
      </c>
      <c r="G97" s="206">
        <f t="shared" si="23"/>
        <v>-1</v>
      </c>
      <c r="H97" s="206">
        <f t="shared" si="23"/>
        <v>-2</v>
      </c>
      <c r="I97" s="206">
        <f t="shared" si="23"/>
        <v>-2</v>
      </c>
      <c r="J97" s="206">
        <f t="shared" si="23"/>
        <v>-2</v>
      </c>
      <c r="K97" s="206">
        <f t="shared" si="23"/>
        <v>-2</v>
      </c>
      <c r="L97" s="206">
        <f t="shared" si="23"/>
        <v>-2</v>
      </c>
      <c r="M97" s="206">
        <f t="shared" si="23"/>
        <v>-1</v>
      </c>
      <c r="N97" s="206">
        <f t="shared" si="23"/>
        <v>-2</v>
      </c>
      <c r="O97" s="206">
        <f t="shared" si="23"/>
        <v>-1</v>
      </c>
      <c r="P97" s="206">
        <f t="shared" si="23"/>
        <v>-1</v>
      </c>
      <c r="Q97" s="206">
        <f t="shared" si="23"/>
        <v>-1</v>
      </c>
      <c r="R97" s="206">
        <f t="shared" si="23"/>
        <v>-1</v>
      </c>
      <c r="S97" s="206">
        <f t="shared" si="23"/>
        <v>-1</v>
      </c>
      <c r="T97" s="206">
        <f t="shared" si="23"/>
        <v>-1</v>
      </c>
      <c r="U97" s="206">
        <f t="shared" si="23"/>
        <v>0</v>
      </c>
      <c r="V97" s="206">
        <f t="shared" si="23"/>
        <v>-1</v>
      </c>
      <c r="W97" s="206">
        <f t="shared" si="23"/>
        <v>-1</v>
      </c>
      <c r="X97" s="206">
        <f t="shared" si="23"/>
        <v>-1</v>
      </c>
      <c r="Y97" s="206">
        <f t="shared" si="23"/>
        <v>-1</v>
      </c>
      <c r="Z97" s="260">
        <f>Z95-Z96</f>
        <v>195.07199999997465</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201</v>
      </c>
      <c r="P98" s="181">
        <f t="shared" si="24"/>
        <v>201</v>
      </c>
      <c r="Q98" s="181">
        <f t="shared" si="24"/>
        <v>201</v>
      </c>
      <c r="R98" s="181">
        <f t="shared" si="24"/>
        <v>201</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29468.063999999984</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-6</v>
      </c>
      <c r="P100" s="206">
        <f t="shared" si="25"/>
        <v>-6</v>
      </c>
      <c r="Q100" s="206">
        <f t="shared" si="25"/>
        <v>-6</v>
      </c>
      <c r="R100" s="206">
        <f t="shared" si="25"/>
        <v>-6</v>
      </c>
      <c r="S100" s="206">
        <f t="shared" si="25"/>
        <v>-6</v>
      </c>
      <c r="T100" s="206">
        <f t="shared" si="25"/>
        <v>-6</v>
      </c>
      <c r="U100" s="206">
        <f t="shared" si="25"/>
        <v>-5</v>
      </c>
      <c r="V100" s="206">
        <f t="shared" si="25"/>
        <v>-6</v>
      </c>
      <c r="W100" s="206">
        <f t="shared" si="25"/>
        <v>-6</v>
      </c>
      <c r="X100" s="206">
        <f t="shared" si="25"/>
        <v>-6</v>
      </c>
      <c r="Y100" s="206">
        <f t="shared" si="25"/>
        <v>-6</v>
      </c>
      <c r="Z100" s="260">
        <f>Z98-Z99</f>
        <v>963.16799999997602</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201</v>
      </c>
      <c r="P101" s="181">
        <f t="shared" si="26"/>
        <v>201</v>
      </c>
      <c r="Q101" s="181">
        <f t="shared" si="26"/>
        <v>201</v>
      </c>
      <c r="R101" s="181">
        <f t="shared" si="26"/>
        <v>201</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29474.159999999985</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-1</v>
      </c>
      <c r="P103" s="206">
        <f t="shared" si="27"/>
        <v>-1</v>
      </c>
      <c r="Q103" s="206">
        <f t="shared" si="27"/>
        <v>-1</v>
      </c>
      <c r="R103" s="206">
        <f t="shared" si="27"/>
        <v>-1</v>
      </c>
      <c r="S103" s="206">
        <f t="shared" si="27"/>
        <v>-1</v>
      </c>
      <c r="T103" s="206">
        <f t="shared" si="27"/>
        <v>-1</v>
      </c>
      <c r="U103" s="206">
        <f t="shared" si="27"/>
        <v>0</v>
      </c>
      <c r="V103" s="206">
        <f t="shared" si="27"/>
        <v>-1</v>
      </c>
      <c r="W103" s="206">
        <f t="shared" si="27"/>
        <v>-1</v>
      </c>
      <c r="X103" s="206">
        <f t="shared" si="27"/>
        <v>-1</v>
      </c>
      <c r="Y103" s="206">
        <f t="shared" si="27"/>
        <v>-1</v>
      </c>
      <c r="Z103" s="260">
        <f>Z101-Z102</f>
        <v>213.35999999997512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35</v>
      </c>
      <c r="C109" s="181">
        <f t="shared" ref="C109:Y109" si="32">C42</f>
        <v>40</v>
      </c>
      <c r="D109" s="181">
        <f t="shared" si="32"/>
        <v>34</v>
      </c>
      <c r="E109" s="181">
        <f>E42</f>
        <v>36</v>
      </c>
      <c r="F109" s="181">
        <f t="shared" si="32"/>
        <v>32</v>
      </c>
      <c r="G109" s="181">
        <f t="shared" si="32"/>
        <v>36</v>
      </c>
      <c r="H109" s="181">
        <f t="shared" si="32"/>
        <v>34</v>
      </c>
      <c r="I109" s="181">
        <f>I42</f>
        <v>34</v>
      </c>
      <c r="J109" s="181">
        <f t="shared" si="32"/>
        <v>34</v>
      </c>
      <c r="K109" s="181">
        <f t="shared" si="32"/>
        <v>33</v>
      </c>
      <c r="L109" s="181">
        <f t="shared" si="32"/>
        <v>34</v>
      </c>
      <c r="M109" s="181">
        <f t="shared" si="32"/>
        <v>34</v>
      </c>
      <c r="N109" s="181">
        <f t="shared" si="32"/>
        <v>35</v>
      </c>
      <c r="O109" s="181">
        <f t="shared" si="32"/>
        <v>35</v>
      </c>
      <c r="P109" s="181">
        <f t="shared" si="32"/>
        <v>35</v>
      </c>
      <c r="Q109" s="181">
        <f t="shared" si="32"/>
        <v>36</v>
      </c>
      <c r="R109" s="181">
        <f t="shared" si="32"/>
        <v>34</v>
      </c>
      <c r="S109" s="181">
        <f t="shared" si="32"/>
        <v>34</v>
      </c>
      <c r="T109" s="181">
        <f t="shared" si="32"/>
        <v>34</v>
      </c>
      <c r="U109" s="181">
        <f t="shared" si="32"/>
        <v>34</v>
      </c>
      <c r="V109" s="181">
        <f t="shared" si="32"/>
        <v>35</v>
      </c>
      <c r="W109" s="181">
        <f t="shared" si="32"/>
        <v>35</v>
      </c>
      <c r="X109" s="181">
        <f t="shared" si="32"/>
        <v>35</v>
      </c>
      <c r="Y109" s="181">
        <f t="shared" si="32"/>
        <v>33</v>
      </c>
      <c r="Z109" s="219">
        <f>SUM(B109:Y109)</f>
        <v>831</v>
      </c>
      <c r="AA109" s="318" t="s">
        <v>170</v>
      </c>
    </row>
    <row r="110" spans="1:29" x14ac:dyDescent="0.2">
      <c r="A110" s="185">
        <f>Economics!$I35</f>
        <v>1.96</v>
      </c>
      <c r="B110" s="189">
        <f t="shared" ref="B110:Y110" ca="1" si="33">IndGencost(B109,OFFSET(HeatRateStart,1,MATCH($A109,HeatRateNames,0)-1,250,1),$A110)</f>
        <v>21.285180414267952</v>
      </c>
      <c r="C110" s="189">
        <f t="shared" ca="1" si="33"/>
        <v>21.000420408725741</v>
      </c>
      <c r="D110" s="189">
        <f t="shared" ca="1" si="33"/>
        <v>21.354015945019448</v>
      </c>
      <c r="E110" s="189">
        <f ca="1">IndGencost(E109,OFFSET(HeatRateStart,1,MATCH($A109,HeatRateNames,0)-1,250,1),$A110)</f>
        <v>21.220746190791662</v>
      </c>
      <c r="F110" s="189">
        <f t="shared" ca="1" si="33"/>
        <v>21.506541418576244</v>
      </c>
      <c r="G110" s="189">
        <f t="shared" ca="1" si="33"/>
        <v>21.220746190791662</v>
      </c>
      <c r="H110" s="189">
        <f t="shared" ca="1" si="33"/>
        <v>21.354015945019448</v>
      </c>
      <c r="I110" s="189">
        <f t="shared" ca="1" si="33"/>
        <v>21.354015945019448</v>
      </c>
      <c r="J110" s="189">
        <f t="shared" ca="1" si="33"/>
        <v>21.354015945019448</v>
      </c>
      <c r="K110" s="189">
        <f t="shared" ca="1" si="33"/>
        <v>21.427652901889342</v>
      </c>
      <c r="L110" s="189">
        <f t="shared" ca="1" si="33"/>
        <v>21.354015945019448</v>
      </c>
      <c r="M110" s="189">
        <f t="shared" ca="1" si="33"/>
        <v>21.354015945019448</v>
      </c>
      <c r="N110" s="189">
        <f t="shared" ca="1" si="33"/>
        <v>21.285180414267952</v>
      </c>
      <c r="O110" s="189">
        <f t="shared" ca="1" si="33"/>
        <v>21.285180414267952</v>
      </c>
      <c r="P110" s="189">
        <f t="shared" ca="1" si="33"/>
        <v>21.285180414267952</v>
      </c>
      <c r="Q110" s="189">
        <f t="shared" ca="1" si="33"/>
        <v>21.220746190791662</v>
      </c>
      <c r="R110" s="189">
        <f t="shared" ca="1" si="33"/>
        <v>21.354015945019448</v>
      </c>
      <c r="S110" s="189">
        <f t="shared" ca="1" si="33"/>
        <v>21.354015945019448</v>
      </c>
      <c r="T110" s="189">
        <f t="shared" ca="1" si="33"/>
        <v>21.354015945019448</v>
      </c>
      <c r="U110" s="189">
        <f t="shared" ca="1" si="33"/>
        <v>21.354015945019448</v>
      </c>
      <c r="V110" s="189">
        <f t="shared" ca="1" si="33"/>
        <v>21.285180414267952</v>
      </c>
      <c r="W110" s="189">
        <f t="shared" ca="1" si="33"/>
        <v>21.285180414267952</v>
      </c>
      <c r="X110" s="189">
        <f t="shared" ca="1" si="33"/>
        <v>21.285180414267952</v>
      </c>
      <c r="Y110" s="189">
        <f t="shared" ca="1" si="33"/>
        <v>21.427652901889342</v>
      </c>
      <c r="Z110" s="259">
        <f t="array" aca="1" ref="Z110" ca="1">SUM(B109:Y109*B110:Y110)</f>
        <v>17709.526444675928</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0.30600929627835782</v>
      </c>
      <c r="C113" s="188">
        <f t="shared" ca="1" si="35"/>
        <v>0.59076930182056842</v>
      </c>
      <c r="D113" s="188">
        <f t="shared" ca="1" si="35"/>
        <v>0.23717376552686176</v>
      </c>
      <c r="E113" s="188">
        <f t="shared" ca="1" si="35"/>
        <v>0.37044351975464807</v>
      </c>
      <c r="F113" s="188">
        <f t="shared" ca="1" si="35"/>
        <v>8.4648291970065515E-2</v>
      </c>
      <c r="G113" s="188">
        <f t="shared" ca="1" si="35"/>
        <v>0.37044351975464807</v>
      </c>
      <c r="H113" s="188">
        <f t="shared" ca="1" si="35"/>
        <v>0.23717376552686176</v>
      </c>
      <c r="I113" s="188">
        <f t="shared" ca="1" si="35"/>
        <v>0.23717376552686176</v>
      </c>
      <c r="J113" s="188">
        <f t="shared" ca="1" si="35"/>
        <v>0.23717376552686176</v>
      </c>
      <c r="K113" s="188">
        <f t="shared" ca="1" si="35"/>
        <v>0.16353680865696774</v>
      </c>
      <c r="L113" s="188">
        <f t="shared" ca="1" si="35"/>
        <v>0.23717376552686176</v>
      </c>
      <c r="M113" s="188">
        <f t="shared" ca="1" si="35"/>
        <v>0.23717376552686176</v>
      </c>
      <c r="N113" s="188">
        <f t="shared" ca="1" si="35"/>
        <v>0.30600929627835782</v>
      </c>
      <c r="O113" s="188">
        <f t="shared" ca="1" si="35"/>
        <v>0.30600929627835782</v>
      </c>
      <c r="P113" s="188">
        <f t="shared" ca="1" si="35"/>
        <v>0.30600929627835782</v>
      </c>
      <c r="Q113" s="188">
        <f t="shared" ca="1" si="35"/>
        <v>0.37044351975464807</v>
      </c>
      <c r="R113" s="188">
        <f t="shared" ca="1" si="35"/>
        <v>0.23717376552686176</v>
      </c>
      <c r="S113" s="188">
        <f t="shared" ca="1" si="35"/>
        <v>0.23717376552686176</v>
      </c>
      <c r="T113" s="188">
        <f t="shared" ca="1" si="35"/>
        <v>0.23717376552686176</v>
      </c>
      <c r="U113" s="188">
        <f t="shared" ca="1" si="35"/>
        <v>0.23717376552686176</v>
      </c>
      <c r="V113" s="188">
        <f t="shared" ca="1" si="35"/>
        <v>0.30600929627835782</v>
      </c>
      <c r="W113" s="188">
        <f t="shared" ca="1" si="35"/>
        <v>0.30600929627835782</v>
      </c>
      <c r="X113" s="188">
        <f t="shared" ca="1" si="35"/>
        <v>0.30600929627835782</v>
      </c>
      <c r="Y113" s="188">
        <f t="shared" ca="1" si="35"/>
        <v>0.16353680865696774</v>
      </c>
      <c r="Z113" s="260">
        <f ca="1">Z110-Z112</f>
        <v>1645.6813000294642</v>
      </c>
      <c r="AC113" s="174"/>
    </row>
    <row r="114" spans="1:29" x14ac:dyDescent="0.2">
      <c r="A114" s="183" t="str">
        <f>Economics!A36</f>
        <v>Newman 3</v>
      </c>
      <c r="B114" s="181">
        <f t="shared" ref="B114:Y114" si="36">B43</f>
        <v>54</v>
      </c>
      <c r="C114" s="181">
        <f t="shared" si="36"/>
        <v>79</v>
      </c>
      <c r="D114" s="181">
        <f t="shared" si="36"/>
        <v>89</v>
      </c>
      <c r="E114" s="181">
        <f>E43</f>
        <v>93</v>
      </c>
      <c r="F114" s="181">
        <f t="shared" si="36"/>
        <v>99</v>
      </c>
      <c r="G114" s="181">
        <f t="shared" si="36"/>
        <v>90</v>
      </c>
      <c r="H114" s="181">
        <f t="shared" si="36"/>
        <v>35</v>
      </c>
      <c r="I114" s="181">
        <f t="shared" si="36"/>
        <v>58</v>
      </c>
      <c r="J114" s="181">
        <f t="shared" si="36"/>
        <v>37</v>
      </c>
      <c r="K114" s="181">
        <f t="shared" si="36"/>
        <v>35</v>
      </c>
      <c r="L114" s="181">
        <f t="shared" si="36"/>
        <v>35</v>
      </c>
      <c r="M114" s="181">
        <f t="shared" si="36"/>
        <v>35</v>
      </c>
      <c r="N114" s="181">
        <f t="shared" si="36"/>
        <v>34</v>
      </c>
      <c r="O114" s="181">
        <f t="shared" si="36"/>
        <v>36</v>
      </c>
      <c r="P114" s="181">
        <f t="shared" si="36"/>
        <v>34</v>
      </c>
      <c r="Q114" s="181">
        <f t="shared" si="36"/>
        <v>36</v>
      </c>
      <c r="R114" s="181">
        <f t="shared" si="36"/>
        <v>36</v>
      </c>
      <c r="S114" s="181">
        <f t="shared" si="36"/>
        <v>36</v>
      </c>
      <c r="T114" s="181">
        <f t="shared" si="36"/>
        <v>36</v>
      </c>
      <c r="U114" s="181">
        <f t="shared" si="36"/>
        <v>47</v>
      </c>
      <c r="V114" s="181">
        <f t="shared" si="36"/>
        <v>35</v>
      </c>
      <c r="W114" s="181">
        <f t="shared" si="36"/>
        <v>50</v>
      </c>
      <c r="X114" s="181">
        <f t="shared" si="36"/>
        <v>34</v>
      </c>
      <c r="Y114" s="181">
        <f t="shared" si="36"/>
        <v>79</v>
      </c>
      <c r="Z114" s="219">
        <f>SUM(B114:Y114)</f>
        <v>1232</v>
      </c>
      <c r="AA114" s="318" t="s">
        <v>172</v>
      </c>
    </row>
    <row r="115" spans="1:29" x14ac:dyDescent="0.2">
      <c r="A115" s="185">
        <f>Economics!$I36</f>
        <v>1.96</v>
      </c>
      <c r="B115" s="189">
        <f t="shared" ref="B115:Y115" ca="1" si="37">IndGencost(B114,OFFSET(HeatRateStart,1,MATCH($A114,HeatRateNames,0)-1,250,1),$A115)</f>
        <v>20.278668542826619</v>
      </c>
      <c r="C115" s="189">
        <f t="shared" ca="1" si="37"/>
        <v>19.759355827609195</v>
      </c>
      <c r="D115" s="189">
        <f t="shared" ca="1" si="37"/>
        <v>19.733522631259447</v>
      </c>
      <c r="E115" s="189">
        <f ca="1">IndGencost(E114,OFFSET(HeatRateStart,1,MATCH($A114,HeatRateNames,0)-1,250,1),$A115)</f>
        <v>19.740087696024169</v>
      </c>
      <c r="F115" s="189">
        <f t="shared" ca="1" si="37"/>
        <v>19.764383010931688</v>
      </c>
      <c r="G115" s="189">
        <f t="shared" ca="1" si="37"/>
        <v>19.734369272973801</v>
      </c>
      <c r="H115" s="189">
        <f t="shared" ca="1" si="37"/>
        <v>21.778120423861914</v>
      </c>
      <c r="I115" s="189">
        <f t="shared" ca="1" si="37"/>
        <v>20.128592115895497</v>
      </c>
      <c r="J115" s="189">
        <f t="shared" ca="1" si="37"/>
        <v>21.524349608112029</v>
      </c>
      <c r="K115" s="189">
        <f t="shared" ca="1" si="37"/>
        <v>21.778120423861914</v>
      </c>
      <c r="L115" s="189">
        <f t="shared" ca="1" si="37"/>
        <v>21.778120423861914</v>
      </c>
      <c r="M115" s="189">
        <f t="shared" ca="1" si="37"/>
        <v>21.778120423861914</v>
      </c>
      <c r="N115" s="189">
        <f t="shared" ca="1" si="37"/>
        <v>21.918449838357816</v>
      </c>
      <c r="O115" s="189">
        <f t="shared" ca="1" si="37"/>
        <v>21.647002643532225</v>
      </c>
      <c r="P115" s="189">
        <f t="shared" ca="1" si="37"/>
        <v>21.918449838357816</v>
      </c>
      <c r="Q115" s="189">
        <f t="shared" ca="1" si="37"/>
        <v>21.647002643532225</v>
      </c>
      <c r="R115" s="189">
        <f t="shared" ca="1" si="37"/>
        <v>21.647002643532225</v>
      </c>
      <c r="S115" s="189">
        <f t="shared" ca="1" si="37"/>
        <v>21.647002643532225</v>
      </c>
      <c r="T115" s="189">
        <f t="shared" ca="1" si="37"/>
        <v>21.647002643532225</v>
      </c>
      <c r="U115" s="189">
        <f t="shared" ca="1" si="37"/>
        <v>20.644513593288181</v>
      </c>
      <c r="V115" s="189">
        <f t="shared" ca="1" si="37"/>
        <v>21.778120423861914</v>
      </c>
      <c r="W115" s="189">
        <f t="shared" ca="1" si="37"/>
        <v>20.469064398384099</v>
      </c>
      <c r="X115" s="189">
        <f t="shared" ca="1" si="37"/>
        <v>21.918449838357816</v>
      </c>
      <c r="Y115" s="189">
        <f t="shared" ca="1" si="37"/>
        <v>19.759355827609195</v>
      </c>
      <c r="Z115" s="259">
        <f t="array" aca="1" ref="Z115" ca="1">SUM(B114:Y114*B115:Y115)</f>
        <v>25442.823215187072</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-20.278668542826619</v>
      </c>
      <c r="C118" s="188">
        <f t="shared" ca="1" si="39"/>
        <v>-19.759355827609195</v>
      </c>
      <c r="D118" s="188">
        <f t="shared" ca="1" si="39"/>
        <v>-19.733522631259447</v>
      </c>
      <c r="E118" s="188">
        <f t="shared" ca="1" si="39"/>
        <v>-19.740087696024169</v>
      </c>
      <c r="F118" s="188">
        <f t="shared" ca="1" si="39"/>
        <v>-19.764383010931688</v>
      </c>
      <c r="G118" s="188">
        <f t="shared" ca="1" si="39"/>
        <v>-19.734369272973801</v>
      </c>
      <c r="H118" s="188">
        <f t="shared" ca="1" si="39"/>
        <v>-21.778120423861914</v>
      </c>
      <c r="I118" s="188">
        <f t="shared" ca="1" si="39"/>
        <v>-20.128592115895497</v>
      </c>
      <c r="J118" s="188">
        <f t="shared" ca="1" si="39"/>
        <v>-21.524349608112029</v>
      </c>
      <c r="K118" s="188">
        <f t="shared" ca="1" si="39"/>
        <v>-21.778120423861914</v>
      </c>
      <c r="L118" s="188">
        <f t="shared" ca="1" si="39"/>
        <v>-21.778120423861914</v>
      </c>
      <c r="M118" s="188">
        <f t="shared" ca="1" si="39"/>
        <v>-21.778120423861914</v>
      </c>
      <c r="N118" s="188">
        <f t="shared" ca="1" si="39"/>
        <v>-21.918449838357816</v>
      </c>
      <c r="O118" s="188">
        <f t="shared" ca="1" si="39"/>
        <v>-21.647002643532225</v>
      </c>
      <c r="P118" s="188">
        <f t="shared" ca="1" si="39"/>
        <v>-21.918449838357816</v>
      </c>
      <c r="Q118" s="188">
        <f t="shared" ca="1" si="39"/>
        <v>-21.647002643532225</v>
      </c>
      <c r="R118" s="188">
        <f t="shared" ca="1" si="39"/>
        <v>-21.647002643532225</v>
      </c>
      <c r="S118" s="188">
        <f t="shared" ca="1" si="39"/>
        <v>-21.647002643532225</v>
      </c>
      <c r="T118" s="188">
        <f t="shared" ca="1" si="39"/>
        <v>-21.647002643532225</v>
      </c>
      <c r="U118" s="188">
        <f t="shared" ca="1" si="39"/>
        <v>-20.644513593288181</v>
      </c>
      <c r="V118" s="188">
        <f t="shared" ca="1" si="39"/>
        <v>-21.778120423861914</v>
      </c>
      <c r="W118" s="188">
        <f t="shared" ca="1" si="39"/>
        <v>-20.469064398384099</v>
      </c>
      <c r="X118" s="188">
        <f t="shared" ca="1" si="39"/>
        <v>-21.918449838357816</v>
      </c>
      <c r="Y118" s="188">
        <f t="shared" ca="1" si="39"/>
        <v>-19.759355827609195</v>
      </c>
      <c r="Z118" s="260">
        <f ca="1">Z115-Z117</f>
        <v>25442.823215187072</v>
      </c>
    </row>
    <row r="119" spans="1:29" x14ac:dyDescent="0.2">
      <c r="A119" s="183" t="str">
        <f>Economics!A37</f>
        <v>GT 1</v>
      </c>
      <c r="B119" s="181">
        <f t="shared" ref="B119:Y119" si="40">B44</f>
        <v>0</v>
      </c>
      <c r="C119" s="181">
        <f t="shared" si="40"/>
        <v>21</v>
      </c>
      <c r="D119" s="181">
        <f t="shared" si="40"/>
        <v>20</v>
      </c>
      <c r="E119" s="181">
        <f>E44</f>
        <v>20</v>
      </c>
      <c r="F119" s="181">
        <f t="shared" si="40"/>
        <v>21</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82</v>
      </c>
      <c r="AA119" s="318" t="s">
        <v>174</v>
      </c>
    </row>
    <row r="120" spans="1:29" x14ac:dyDescent="0.2">
      <c r="A120" s="185">
        <f>Economics!$I37</f>
        <v>1.96</v>
      </c>
      <c r="B120" s="189">
        <f t="shared" ref="B120:Y120" ca="1" si="41">IndGencost(B119,OFFSET(HeatRateStart,1,MATCH($A119,HeatRateNames,0)-1,250,1),$A120)</f>
        <v>0</v>
      </c>
      <c r="C120" s="189">
        <f t="shared" ca="1" si="41"/>
        <v>33.277313434334395</v>
      </c>
      <c r="D120" s="189">
        <f t="shared" ca="1" si="41"/>
        <v>33.930736660385129</v>
      </c>
      <c r="E120" s="189">
        <f ca="1">IndGencost(E119,OFFSET(HeatRateStart,1,MATCH($A119,HeatRateNames,0)-1,250,1),$A120)</f>
        <v>33.930736660385129</v>
      </c>
      <c r="F120" s="189">
        <f t="shared" ca="1" si="41"/>
        <v>33.277313434334395</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2754.8766306574498</v>
      </c>
      <c r="AA120" s="318" t="s">
        <v>167</v>
      </c>
    </row>
    <row r="121" spans="1:29" x14ac:dyDescent="0.2">
      <c r="A121" s="184" t="s">
        <v>163</v>
      </c>
      <c r="B121" s="186">
        <f t="shared" ref="B121:Y121" si="42">B119</f>
        <v>0</v>
      </c>
      <c r="C121" s="186">
        <f t="shared" si="42"/>
        <v>21</v>
      </c>
      <c r="D121" s="186">
        <f t="shared" si="42"/>
        <v>20</v>
      </c>
      <c r="E121" s="186">
        <f t="shared" si="42"/>
        <v>20</v>
      </c>
      <c r="F121" s="186">
        <f t="shared" si="42"/>
        <v>21</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82</v>
      </c>
    </row>
    <row r="122" spans="1:29" x14ac:dyDescent="0.2">
      <c r="A122" s="182"/>
      <c r="B122" s="190">
        <f t="shared" ref="B122:Y122" ca="1" si="43">IndGencost(B121,OFFSET(HeatRateStart,1,MATCH($A119,HeatRateNames,0)-1,250,1),$A120)</f>
        <v>0</v>
      </c>
      <c r="C122" s="190">
        <f t="shared" ca="1" si="43"/>
        <v>33.277313434334395</v>
      </c>
      <c r="D122" s="190">
        <f t="shared" ca="1" si="43"/>
        <v>33.930736660385129</v>
      </c>
      <c r="E122" s="190">
        <f ca="1">IndGencost(E121,OFFSET(HeatRateStart,1,MATCH($A119,HeatRateNames,0)-1,250,1),$A120)</f>
        <v>33.930736660385129</v>
      </c>
      <c r="F122" s="190">
        <f t="shared" ca="1" si="43"/>
        <v>33.277313434334395</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2754.8766306574498</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20</v>
      </c>
      <c r="D124" s="181">
        <f t="shared" si="45"/>
        <v>15</v>
      </c>
      <c r="E124" s="181">
        <f>E45</f>
        <v>15</v>
      </c>
      <c r="F124" s="181">
        <f t="shared" si="45"/>
        <v>15</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65</v>
      </c>
      <c r="AA124" s="318" t="s">
        <v>174</v>
      </c>
    </row>
    <row r="125" spans="1:29" x14ac:dyDescent="0.2">
      <c r="A125" s="185">
        <f>Economics!$I38</f>
        <v>1.96</v>
      </c>
      <c r="B125" s="189">
        <f t="shared" ref="B125:Y125" ca="1" si="46">IndGencost(B124,OFFSET(HeatRateStart,1,MATCH($A124,HeatRateNames,0)-1,250,1),$A125)</f>
        <v>0</v>
      </c>
      <c r="C125" s="189">
        <f t="shared" ca="1" si="46"/>
        <v>33.930736660385129</v>
      </c>
      <c r="D125" s="189">
        <f t="shared" ca="1" si="46"/>
        <v>38.577599484159158</v>
      </c>
      <c r="E125" s="189">
        <f ca="1">IndGencost(E124,OFFSET(HeatRateStart,1,MATCH($A124,HeatRateNames,0)-1,250,1),$A125)</f>
        <v>38.577599484159158</v>
      </c>
      <c r="F125" s="189">
        <f t="shared" ca="1" si="46"/>
        <v>38.577599484159158</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2414.606709994865</v>
      </c>
      <c r="AA125" s="318" t="s">
        <v>167</v>
      </c>
    </row>
    <row r="126" spans="1:29" x14ac:dyDescent="0.2">
      <c r="A126" s="184" t="s">
        <v>163</v>
      </c>
      <c r="B126" s="186">
        <f t="shared" ref="B126:Y126" si="47">B124</f>
        <v>0</v>
      </c>
      <c r="C126" s="186">
        <f t="shared" si="47"/>
        <v>20</v>
      </c>
      <c r="D126" s="186">
        <f t="shared" si="47"/>
        <v>15</v>
      </c>
      <c r="E126" s="186">
        <f t="shared" si="47"/>
        <v>15</v>
      </c>
      <c r="F126" s="186">
        <f t="shared" si="47"/>
        <v>15</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65</v>
      </c>
    </row>
    <row r="127" spans="1:29" x14ac:dyDescent="0.2">
      <c r="A127" s="182"/>
      <c r="B127" s="190">
        <f t="shared" ref="B127:Y127" ca="1" si="48">IndGencost(B126,OFFSET(HeatRateStart,1,MATCH($A124,HeatRateNames,0)-1,250,1),$A125)</f>
        <v>0</v>
      </c>
      <c r="C127" s="190">
        <f t="shared" ca="1" si="48"/>
        <v>33.930736660385129</v>
      </c>
      <c r="D127" s="190">
        <f t="shared" ca="1" si="48"/>
        <v>38.577599484159158</v>
      </c>
      <c r="E127" s="190">
        <f ca="1">IndGencost(E126,OFFSET(HeatRateStart,1,MATCH($A124,HeatRateNames,0)-1,250,1),$A125)</f>
        <v>38.577599484159158</v>
      </c>
      <c r="F127" s="190">
        <f t="shared" ca="1" si="48"/>
        <v>38.577599484159158</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2414.606709994865</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90</v>
      </c>
      <c r="C139" s="181">
        <f t="shared" si="59"/>
        <v>0</v>
      </c>
      <c r="D139" s="181">
        <f t="shared" si="59"/>
        <v>0</v>
      </c>
      <c r="E139" s="181">
        <f>E48</f>
        <v>0</v>
      </c>
      <c r="F139" s="181">
        <f t="shared" si="59"/>
        <v>0</v>
      </c>
      <c r="G139" s="181">
        <f t="shared" si="59"/>
        <v>114</v>
      </c>
      <c r="H139" s="181">
        <f t="shared" si="59"/>
        <v>199</v>
      </c>
      <c r="I139" s="181">
        <f t="shared" si="59"/>
        <v>216</v>
      </c>
      <c r="J139" s="181">
        <f t="shared" si="59"/>
        <v>167</v>
      </c>
      <c r="K139" s="181">
        <f t="shared" si="59"/>
        <v>212</v>
      </c>
      <c r="L139" s="181">
        <f t="shared" si="59"/>
        <v>199</v>
      </c>
      <c r="M139" s="181">
        <f t="shared" si="59"/>
        <v>195</v>
      </c>
      <c r="N139" s="181">
        <f t="shared" si="59"/>
        <v>177</v>
      </c>
      <c r="O139" s="181">
        <f t="shared" si="59"/>
        <v>170</v>
      </c>
      <c r="P139" s="181">
        <f t="shared" si="59"/>
        <v>161</v>
      </c>
      <c r="Q139" s="181">
        <f t="shared" si="59"/>
        <v>145</v>
      </c>
      <c r="R139" s="181">
        <f t="shared" si="59"/>
        <v>133</v>
      </c>
      <c r="S139" s="181">
        <f t="shared" si="59"/>
        <v>122</v>
      </c>
      <c r="T139" s="181">
        <f t="shared" si="59"/>
        <v>166</v>
      </c>
      <c r="U139" s="181">
        <f t="shared" si="59"/>
        <v>168</v>
      </c>
      <c r="V139" s="181">
        <f t="shared" si="59"/>
        <v>164</v>
      </c>
      <c r="W139" s="181">
        <f t="shared" si="59"/>
        <v>177</v>
      </c>
      <c r="X139" s="181">
        <f t="shared" si="59"/>
        <v>138</v>
      </c>
      <c r="Y139" s="181">
        <f t="shared" si="59"/>
        <v>91</v>
      </c>
      <c r="Z139" s="219">
        <f>SUM(B139:Y139)</f>
        <v>3204</v>
      </c>
      <c r="AA139" s="318" t="s">
        <v>174</v>
      </c>
    </row>
    <row r="140" spans="1:27" x14ac:dyDescent="0.2">
      <c r="A140" s="185">
        <f>Economics!$I41</f>
        <v>1.96</v>
      </c>
      <c r="B140" s="189">
        <f t="shared" ref="B140:Y140" ca="1" si="60">IndGencost(B139,OFFSET(HeatRateStart,1,MATCH($A139,HeatRateNames,0)-1,250,1),$A140)</f>
        <v>22.09925229011202</v>
      </c>
      <c r="C140" s="189">
        <f t="shared" ca="1" si="60"/>
        <v>0</v>
      </c>
      <c r="D140" s="189">
        <f t="shared" ca="1" si="60"/>
        <v>0</v>
      </c>
      <c r="E140" s="189">
        <f ca="1">IndGencost(E139,OFFSET(HeatRateStart,1,MATCH($A139,HeatRateNames,0)-1,250,1),$A140)</f>
        <v>0</v>
      </c>
      <c r="F140" s="189">
        <f t="shared" ca="1" si="60"/>
        <v>0</v>
      </c>
      <c r="G140" s="189">
        <f t="shared" ca="1" si="60"/>
        <v>20.29960753003337</v>
      </c>
      <c r="H140" s="189">
        <f t="shared" ca="1" si="60"/>
        <v>18.083492641170409</v>
      </c>
      <c r="I140" s="189" t="str">
        <f t="shared" ca="1" si="60"/>
        <v>Error - No HeatRate</v>
      </c>
      <c r="J140" s="189">
        <f t="shared" ca="1" si="60"/>
        <v>18.507635964436869</v>
      </c>
      <c r="K140" s="189">
        <f t="shared" ca="1" si="60"/>
        <v>17.9872609980814</v>
      </c>
      <c r="L140" s="189">
        <f t="shared" ca="1" si="60"/>
        <v>18.083492641170409</v>
      </c>
      <c r="M140" s="189">
        <f t="shared" ca="1" si="60"/>
        <v>18.120675690370323</v>
      </c>
      <c r="N140" s="189">
        <f t="shared" ca="1" si="60"/>
        <v>18.340823835301684</v>
      </c>
      <c r="O140" s="189">
        <f t="shared" ca="1" si="60"/>
        <v>18.453763362690225</v>
      </c>
      <c r="P140" s="189">
        <f t="shared" ca="1" si="60"/>
        <v>18.62620554782136</v>
      </c>
      <c r="Q140" s="189">
        <f t="shared" ca="1" si="60"/>
        <v>19.025115355453305</v>
      </c>
      <c r="R140" s="189">
        <f t="shared" ca="1" si="60"/>
        <v>19.42344807055985</v>
      </c>
      <c r="S140" s="189">
        <f t="shared" ca="1" si="60"/>
        <v>19.887110289811773</v>
      </c>
      <c r="T140" s="189">
        <f t="shared" ca="1" si="60"/>
        <v>18.52637115348962</v>
      </c>
      <c r="U140" s="189">
        <f t="shared" ca="1" si="60"/>
        <v>18.489294231852341</v>
      </c>
      <c r="V140" s="189">
        <f t="shared" ca="1" si="60"/>
        <v>18.5650506904975</v>
      </c>
      <c r="W140" s="189">
        <f t="shared" ca="1" si="60"/>
        <v>18.340823835301684</v>
      </c>
      <c r="X140" s="189">
        <f t="shared" ca="1" si="60"/>
        <v>19.245426583090488</v>
      </c>
      <c r="Y140" s="189">
        <f t="shared" ca="1" si="60"/>
        <v>22.001696672982547</v>
      </c>
      <c r="Z140" s="259" t="e">
        <f t="array" aca="1" ref="Z140" ca="1">SUM(B139:Y139*B140:Y140)</f>
        <v>#VALUE!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-1.8552168382815211</v>
      </c>
      <c r="C143" s="188">
        <f t="shared" ca="1" si="62"/>
        <v>20.244035451830499</v>
      </c>
      <c r="D143" s="188">
        <f t="shared" ca="1" si="62"/>
        <v>19.350020833271106</v>
      </c>
      <c r="E143" s="188">
        <f t="shared" ca="1" si="62"/>
        <v>19.350020833271106</v>
      </c>
      <c r="F143" s="188">
        <f t="shared" ca="1" si="62"/>
        <v>19.350020833271106</v>
      </c>
      <c r="G143" s="188">
        <f t="shared" ca="1" si="62"/>
        <v>-0.94958669676226393</v>
      </c>
      <c r="H143" s="188">
        <f t="shared" ca="1" si="62"/>
        <v>1.4559842206598255</v>
      </c>
      <c r="I143" s="188" t="e">
        <f t="shared" ca="1" si="62"/>
        <v>#VALUE!</v>
      </c>
      <c r="J143" s="188">
        <f t="shared" ca="1" si="62"/>
        <v>1.7363994873936299</v>
      </c>
      <c r="K143" s="188">
        <f t="shared" ca="1" si="62"/>
        <v>2.2567744537490988</v>
      </c>
      <c r="L143" s="188">
        <f t="shared" ca="1" si="62"/>
        <v>2.1605428106600897</v>
      </c>
      <c r="M143" s="188">
        <f t="shared" ca="1" si="62"/>
        <v>2.1233597614601756</v>
      </c>
      <c r="N143" s="188">
        <f t="shared" ca="1" si="62"/>
        <v>1.9032116165288144</v>
      </c>
      <c r="O143" s="188">
        <f t="shared" ca="1" si="62"/>
        <v>1.7902720891402737</v>
      </c>
      <c r="P143" s="188">
        <f t="shared" ca="1" si="62"/>
        <v>1.6178299040091382</v>
      </c>
      <c r="Q143" s="188">
        <f t="shared" ca="1" si="62"/>
        <v>1.2189200963771931</v>
      </c>
      <c r="R143" s="188">
        <f t="shared" ca="1" si="62"/>
        <v>0.82058738127064856</v>
      </c>
      <c r="S143" s="188">
        <f t="shared" ca="1" si="62"/>
        <v>0.35692516201872593</v>
      </c>
      <c r="T143" s="188">
        <f t="shared" ca="1" si="62"/>
        <v>-0.29487011946545394</v>
      </c>
      <c r="U143" s="188">
        <f t="shared" ca="1" si="62"/>
        <v>-0.25779319782817467</v>
      </c>
      <c r="V143" s="188">
        <f t="shared" ca="1" si="62"/>
        <v>-0.11128732780727546</v>
      </c>
      <c r="W143" s="188">
        <f t="shared" ca="1" si="62"/>
        <v>0.20468311746289203</v>
      </c>
      <c r="X143" s="188">
        <f t="shared" ca="1" si="62"/>
        <v>-0.22031122763718258</v>
      </c>
      <c r="Y143" s="188">
        <f t="shared" ca="1" si="62"/>
        <v>-2.9765813175292415</v>
      </c>
      <c r="Z143" s="260" t="e">
        <f ca="1">Z140-Z142</f>
        <v>#VALUE!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867</v>
      </c>
      <c r="C164" s="303">
        <f t="shared" si="80"/>
        <v>816</v>
      </c>
      <c r="D164" s="303">
        <f t="shared" si="80"/>
        <v>816</v>
      </c>
      <c r="E164" s="303">
        <f t="shared" si="80"/>
        <v>822</v>
      </c>
      <c r="F164" s="303">
        <f t="shared" si="80"/>
        <v>825</v>
      </c>
      <c r="G164" s="303">
        <f t="shared" si="80"/>
        <v>895</v>
      </c>
      <c r="H164" s="303">
        <f t="shared" si="80"/>
        <v>924</v>
      </c>
      <c r="I164" s="303">
        <f t="shared" si="80"/>
        <v>964</v>
      </c>
      <c r="J164" s="303">
        <f t="shared" si="80"/>
        <v>893</v>
      </c>
      <c r="K164" s="303">
        <f t="shared" si="80"/>
        <v>936</v>
      </c>
      <c r="L164" s="303">
        <f t="shared" si="80"/>
        <v>924</v>
      </c>
      <c r="M164" s="303">
        <f t="shared" si="80"/>
        <v>867</v>
      </c>
      <c r="N164" s="303">
        <f t="shared" si="80"/>
        <v>902</v>
      </c>
      <c r="O164" s="303">
        <f t="shared" si="80"/>
        <v>894</v>
      </c>
      <c r="P164" s="303">
        <f t="shared" si="80"/>
        <v>883</v>
      </c>
      <c r="Q164" s="303">
        <f t="shared" si="80"/>
        <v>870</v>
      </c>
      <c r="R164" s="303">
        <f t="shared" si="80"/>
        <v>856</v>
      </c>
      <c r="S164" s="303">
        <f t="shared" si="80"/>
        <v>879</v>
      </c>
      <c r="T164" s="303">
        <f t="shared" si="80"/>
        <v>923</v>
      </c>
      <c r="U164" s="303">
        <f t="shared" si="80"/>
        <v>935</v>
      </c>
      <c r="V164" s="303">
        <f t="shared" si="80"/>
        <v>923</v>
      </c>
      <c r="W164" s="303">
        <f t="shared" si="80"/>
        <v>917</v>
      </c>
      <c r="X164" s="303">
        <f t="shared" si="80"/>
        <v>862</v>
      </c>
      <c r="Y164" s="304">
        <f t="shared" si="80"/>
        <v>858</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883</v>
      </c>
      <c r="E165" s="306">
        <f t="shared" si="81"/>
        <v>883</v>
      </c>
      <c r="F165" s="306">
        <f t="shared" si="81"/>
        <v>894</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#VALUE!</v>
      </c>
    </row>
    <row r="166" spans="1:27" x14ac:dyDescent="0.2">
      <c r="A166" s="330" t="s">
        <v>184</v>
      </c>
      <c r="B166" s="331">
        <f t="shared" ref="B166:Y166" si="82">B165-B164</f>
        <v>112</v>
      </c>
      <c r="C166" s="331">
        <f t="shared" si="82"/>
        <v>103</v>
      </c>
      <c r="D166" s="331">
        <f t="shared" si="82"/>
        <v>67</v>
      </c>
      <c r="E166" s="331">
        <f t="shared" si="82"/>
        <v>61</v>
      </c>
      <c r="F166" s="331">
        <f t="shared" si="82"/>
        <v>69</v>
      </c>
      <c r="G166" s="331">
        <f t="shared" si="82"/>
        <v>-27</v>
      </c>
      <c r="H166" s="331">
        <f t="shared" si="82"/>
        <v>-30</v>
      </c>
      <c r="I166" s="331">
        <f t="shared" si="82"/>
        <v>-85</v>
      </c>
      <c r="J166" s="331">
        <f t="shared" si="82"/>
        <v>-14</v>
      </c>
      <c r="K166" s="331">
        <f t="shared" si="82"/>
        <v>-57</v>
      </c>
      <c r="L166" s="331">
        <f t="shared" si="82"/>
        <v>6</v>
      </c>
      <c r="M166" s="331">
        <f t="shared" si="82"/>
        <v>63</v>
      </c>
      <c r="N166" s="331">
        <f t="shared" si="82"/>
        <v>28</v>
      </c>
      <c r="O166" s="331">
        <f t="shared" si="82"/>
        <v>36</v>
      </c>
      <c r="P166" s="331">
        <f t="shared" si="82"/>
        <v>47</v>
      </c>
      <c r="Q166" s="331">
        <f t="shared" si="82"/>
        <v>60</v>
      </c>
      <c r="R166" s="331">
        <f t="shared" si="82"/>
        <v>74</v>
      </c>
      <c r="S166" s="331">
        <f t="shared" si="82"/>
        <v>51</v>
      </c>
      <c r="T166" s="331">
        <f t="shared" si="82"/>
        <v>106</v>
      </c>
      <c r="U166" s="331">
        <f t="shared" si="82"/>
        <v>119</v>
      </c>
      <c r="V166" s="331">
        <f t="shared" si="82"/>
        <v>45</v>
      </c>
      <c r="W166" s="331">
        <f t="shared" si="82"/>
        <v>21</v>
      </c>
      <c r="X166" s="331">
        <f t="shared" si="82"/>
        <v>47</v>
      </c>
      <c r="Y166" s="332">
        <f t="shared" si="82"/>
        <v>51</v>
      </c>
      <c r="Z166" s="336">
        <f>SUM(B166:Y166)</f>
        <v>953</v>
      </c>
    </row>
    <row r="167" spans="1:27" s="325" customFormat="1" ht="32.25" customHeight="1" thickBot="1" x14ac:dyDescent="0.25">
      <c r="A167" s="333" t="s">
        <v>185</v>
      </c>
      <c r="B167" s="334">
        <f t="shared" ref="B167:Y167" ca="1" si="83">B58</f>
        <v>2</v>
      </c>
      <c r="C167" s="334">
        <f t="shared" ca="1" si="83"/>
        <v>2</v>
      </c>
      <c r="D167" s="334">
        <f t="shared" ca="1" si="83"/>
        <v>3</v>
      </c>
      <c r="E167" s="334">
        <f ca="1">E58</f>
        <v>-4</v>
      </c>
      <c r="F167" s="334">
        <f t="shared" ca="1" si="83"/>
        <v>0</v>
      </c>
      <c r="G167" s="334">
        <f t="shared" ca="1" si="83"/>
        <v>0</v>
      </c>
      <c r="H167" s="334">
        <f t="shared" ca="1" si="83"/>
        <v>-2</v>
      </c>
      <c r="I167" s="334">
        <f t="shared" ca="1" si="83"/>
        <v>38</v>
      </c>
      <c r="J167" s="334">
        <f t="shared" ca="1" si="83"/>
        <v>-2</v>
      </c>
      <c r="K167" s="334">
        <f t="shared" ca="1" si="83"/>
        <v>-6</v>
      </c>
      <c r="L167" s="334">
        <f t="shared" ca="1" si="83"/>
        <v>3</v>
      </c>
      <c r="M167" s="334">
        <f t="shared" ca="1" si="83"/>
        <v>-7</v>
      </c>
      <c r="N167" s="334">
        <f t="shared" ca="1" si="83"/>
        <v>-5</v>
      </c>
      <c r="O167" s="334">
        <f t="shared" ca="1" si="83"/>
        <v>-7</v>
      </c>
      <c r="P167" s="334">
        <f t="shared" ca="1" si="83"/>
        <v>-3</v>
      </c>
      <c r="Q167" s="334">
        <f t="shared" ca="1" si="83"/>
        <v>-9</v>
      </c>
      <c r="R167" s="334">
        <f t="shared" ca="1" si="83"/>
        <v>-4</v>
      </c>
      <c r="S167" s="334">
        <f t="shared" ca="1" si="83"/>
        <v>-2</v>
      </c>
      <c r="T167" s="334">
        <f t="shared" ca="1" si="83"/>
        <v>-6</v>
      </c>
      <c r="U167" s="334">
        <f t="shared" ca="1" si="83"/>
        <v>7</v>
      </c>
      <c r="V167" s="334">
        <f t="shared" ca="1" si="83"/>
        <v>-5</v>
      </c>
      <c r="W167" s="334">
        <f t="shared" ca="1" si="83"/>
        <v>-4</v>
      </c>
      <c r="X167" s="334">
        <f t="shared" ca="1" si="83"/>
        <v>20</v>
      </c>
      <c r="Y167" s="335">
        <f t="shared" ca="1" si="83"/>
        <v>-6</v>
      </c>
      <c r="Z167" s="323">
        <f ca="1">SUM(B167:Y167)</f>
        <v>3</v>
      </c>
      <c r="AA167" s="324"/>
    </row>
    <row r="168" spans="1:27" ht="13.5" hidden="1" thickBot="1" x14ac:dyDescent="0.25">
      <c r="A168" s="326" t="s">
        <v>186</v>
      </c>
      <c r="B168" s="327">
        <f t="shared" ref="B168:Y168" ca="1" si="84">B167+B166</f>
        <v>114</v>
      </c>
      <c r="C168" s="327">
        <f t="shared" ca="1" si="84"/>
        <v>105</v>
      </c>
      <c r="D168" s="327">
        <f t="shared" ca="1" si="84"/>
        <v>70</v>
      </c>
      <c r="E168" s="327">
        <f t="shared" ca="1" si="84"/>
        <v>57</v>
      </c>
      <c r="F168" s="327">
        <f t="shared" ca="1" si="84"/>
        <v>69</v>
      </c>
      <c r="G168" s="327">
        <f t="shared" ca="1" si="84"/>
        <v>-27</v>
      </c>
      <c r="H168" s="327">
        <f t="shared" ca="1" si="84"/>
        <v>-32</v>
      </c>
      <c r="I168" s="327">
        <f t="shared" ca="1" si="84"/>
        <v>-47</v>
      </c>
      <c r="J168" s="327">
        <f t="shared" ca="1" si="84"/>
        <v>-16</v>
      </c>
      <c r="K168" s="327">
        <f t="shared" ca="1" si="84"/>
        <v>-63</v>
      </c>
      <c r="L168" s="327">
        <f t="shared" ca="1" si="84"/>
        <v>9</v>
      </c>
      <c r="M168" s="327">
        <f t="shared" ca="1" si="84"/>
        <v>56</v>
      </c>
      <c r="N168" s="327">
        <f t="shared" ca="1" si="84"/>
        <v>23</v>
      </c>
      <c r="O168" s="327">
        <f t="shared" ca="1" si="84"/>
        <v>29</v>
      </c>
      <c r="P168" s="327">
        <f t="shared" ca="1" si="84"/>
        <v>44</v>
      </c>
      <c r="Q168" s="327">
        <f t="shared" ca="1" si="84"/>
        <v>51</v>
      </c>
      <c r="R168" s="327">
        <f t="shared" ca="1" si="84"/>
        <v>70</v>
      </c>
      <c r="S168" s="327">
        <f t="shared" ca="1" si="84"/>
        <v>49</v>
      </c>
      <c r="T168" s="327">
        <f t="shared" ca="1" si="84"/>
        <v>100</v>
      </c>
      <c r="U168" s="327">
        <f t="shared" ca="1" si="84"/>
        <v>126</v>
      </c>
      <c r="V168" s="327">
        <f t="shared" ca="1" si="84"/>
        <v>40</v>
      </c>
      <c r="W168" s="327">
        <f t="shared" ca="1" si="84"/>
        <v>17</v>
      </c>
      <c r="X168" s="327">
        <f t="shared" ca="1" si="84"/>
        <v>67</v>
      </c>
      <c r="Y168" s="327">
        <f t="shared" ca="1" si="84"/>
        <v>45</v>
      </c>
      <c r="Z168" s="328">
        <f ca="1">SUM(B168:Y168)</f>
        <v>956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956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243</v>
      </c>
      <c r="C171" s="338">
        <f t="shared" si="85"/>
        <v>175</v>
      </c>
      <c r="D171" s="338">
        <f t="shared" si="85"/>
        <v>169</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163</v>
      </c>
      <c r="F171" s="338">
        <f t="shared" si="85"/>
        <v>161</v>
      </c>
      <c r="G171" s="338">
        <f t="shared" si="85"/>
        <v>169</v>
      </c>
      <c r="H171" s="338">
        <f t="shared" si="85"/>
        <v>149</v>
      </c>
      <c r="I171" s="338">
        <f t="shared" si="85"/>
        <v>111</v>
      </c>
      <c r="J171" s="338">
        <f t="shared" si="85"/>
        <v>182</v>
      </c>
      <c r="K171" s="338">
        <f t="shared" si="85"/>
        <v>137</v>
      </c>
      <c r="L171" s="338">
        <f t="shared" si="85"/>
        <v>149</v>
      </c>
      <c r="M171" s="338">
        <f t="shared" si="85"/>
        <v>103</v>
      </c>
      <c r="N171" s="338">
        <f t="shared" si="85"/>
        <v>170</v>
      </c>
      <c r="O171" s="338">
        <f t="shared" si="85"/>
        <v>180</v>
      </c>
      <c r="P171" s="338">
        <f t="shared" si="85"/>
        <v>189</v>
      </c>
      <c r="Q171" s="338">
        <f t="shared" si="85"/>
        <v>204</v>
      </c>
      <c r="R171" s="338">
        <f t="shared" si="85"/>
        <v>218</v>
      </c>
      <c r="S171" s="338">
        <f t="shared" si="85"/>
        <v>262</v>
      </c>
      <c r="T171" s="338">
        <f t="shared" si="85"/>
        <v>221</v>
      </c>
      <c r="U171" s="338">
        <f t="shared" si="85"/>
        <v>210</v>
      </c>
      <c r="V171" s="338">
        <f t="shared" si="85"/>
        <v>220</v>
      </c>
      <c r="W171" s="338">
        <f t="shared" si="85"/>
        <v>158</v>
      </c>
      <c r="X171" s="338">
        <f t="shared" si="85"/>
        <v>210</v>
      </c>
      <c r="Y171" s="339">
        <f t="shared" si="85"/>
        <v>183</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235</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235</v>
      </c>
      <c r="F172" s="341">
        <f t="shared" si="86"/>
        <v>233</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#VALUE!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zoomScale="60" zoomScaleNormal="65" workbookViewId="0">
      <selection activeCell="T13" sqref="T13"/>
    </sheetView>
  </sheetViews>
  <sheetFormatPr defaultColWidth="6.140625" defaultRowHeight="12.75" x14ac:dyDescent="0.2"/>
  <cols>
    <col min="1" max="1" width="24.5703125" style="370" customWidth="1"/>
    <col min="2" max="2" width="9.5703125" style="370" customWidth="1"/>
    <col min="3" max="4" width="8.42578125" style="370" customWidth="1"/>
    <col min="5" max="5" width="5.28515625" style="370" customWidth="1"/>
    <col min="6" max="12" width="7" style="370" customWidth="1"/>
    <col min="13" max="14" width="7" style="385" customWidth="1"/>
    <col min="15" max="28" width="7" style="370" customWidth="1"/>
    <col min="29" max="29" width="7"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84</v>
      </c>
      <c r="G3" s="660">
        <v>84</v>
      </c>
      <c r="H3" s="660">
        <v>84</v>
      </c>
      <c r="I3" s="660">
        <v>84</v>
      </c>
      <c r="J3" s="660">
        <v>84</v>
      </c>
      <c r="K3" s="660">
        <v>84</v>
      </c>
      <c r="L3" s="660">
        <v>84</v>
      </c>
      <c r="M3" s="660">
        <v>108</v>
      </c>
      <c r="N3" s="660">
        <v>108</v>
      </c>
      <c r="O3" s="660">
        <v>108</v>
      </c>
      <c r="P3" s="660">
        <v>108</v>
      </c>
      <c r="Q3" s="660">
        <v>108</v>
      </c>
      <c r="R3" s="660">
        <v>108</v>
      </c>
      <c r="S3" s="660">
        <v>108</v>
      </c>
      <c r="T3" s="660">
        <v>108</v>
      </c>
      <c r="U3" s="660">
        <v>108</v>
      </c>
      <c r="V3" s="660">
        <v>108</v>
      </c>
      <c r="W3" s="660">
        <v>108</v>
      </c>
      <c r="X3" s="660">
        <v>108</v>
      </c>
      <c r="Y3" s="660">
        <v>108</v>
      </c>
      <c r="Z3" s="660">
        <v>108</v>
      </c>
      <c r="AA3" s="660">
        <v>108</v>
      </c>
      <c r="AB3" s="660">
        <v>108</v>
      </c>
      <c r="AC3" s="660">
        <v>84</v>
      </c>
      <c r="AD3" s="601">
        <f>SUM(F3:AC3)</f>
        <v>2400</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60</v>
      </c>
      <c r="G4" s="598">
        <v>60</v>
      </c>
      <c r="H4" s="598">
        <v>60</v>
      </c>
      <c r="I4" s="598">
        <v>60</v>
      </c>
      <c r="J4" s="598">
        <v>60</v>
      </c>
      <c r="K4" s="598">
        <v>70</v>
      </c>
      <c r="L4" s="598">
        <v>75</v>
      </c>
      <c r="M4" s="598">
        <v>75</v>
      </c>
      <c r="N4" s="598">
        <v>75</v>
      </c>
      <c r="O4" s="598">
        <v>75</v>
      </c>
      <c r="P4" s="598">
        <v>75</v>
      </c>
      <c r="Q4" s="598">
        <v>75</v>
      </c>
      <c r="R4" s="598">
        <v>70</v>
      </c>
      <c r="S4" s="598">
        <v>70</v>
      </c>
      <c r="T4" s="598">
        <v>70</v>
      </c>
      <c r="U4" s="598">
        <v>70</v>
      </c>
      <c r="V4" s="598">
        <v>70</v>
      </c>
      <c r="W4" s="598">
        <v>75</v>
      </c>
      <c r="X4" s="598">
        <v>75</v>
      </c>
      <c r="Y4" s="598">
        <v>75</v>
      </c>
      <c r="Z4" s="598">
        <v>75</v>
      </c>
      <c r="AA4" s="598">
        <v>75</v>
      </c>
      <c r="AB4" s="598">
        <v>70</v>
      </c>
      <c r="AC4" s="598">
        <v>65</v>
      </c>
      <c r="AD4" s="565">
        <f>SUM(F4:AC4)</f>
        <v>1680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-100</v>
      </c>
      <c r="G7" s="676"/>
      <c r="H7" s="676"/>
      <c r="I7" s="676"/>
      <c r="J7" s="676"/>
      <c r="K7" s="676">
        <v>-30</v>
      </c>
      <c r="L7" s="676">
        <v>-30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-80</v>
      </c>
      <c r="AC7" s="676">
        <v>-30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F99</f>
        <v>0</v>
      </c>
      <c r="E17" s="472"/>
      <c r="F17" s="475">
        <v>0</v>
      </c>
      <c r="G17" s="625"/>
      <c r="H17" s="475"/>
      <c r="I17" s="472">
        <f>K99</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F100</f>
        <v>0</v>
      </c>
      <c r="E18" s="472"/>
      <c r="F18" s="475"/>
      <c r="G18" s="475"/>
      <c r="H18" s="475"/>
      <c r="I18" s="472">
        <f>K100</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F101</f>
        <v>0</v>
      </c>
      <c r="E19" s="472"/>
      <c r="F19" s="475"/>
      <c r="G19" s="625"/>
      <c r="H19" s="475"/>
      <c r="I19" s="472">
        <f>K101</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F102</f>
        <v>0</v>
      </c>
      <c r="E20" s="472"/>
      <c r="F20" s="475"/>
      <c r="G20" s="625"/>
      <c r="H20" s="475"/>
      <c r="I20" s="472">
        <f>K102</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F103</f>
        <v>0</v>
      </c>
      <c r="E21" s="472"/>
      <c r="F21" s="475"/>
      <c r="G21" s="625"/>
      <c r="H21" s="475"/>
      <c r="I21" s="472">
        <f t="shared" ref="I21:I40" si="4">K103</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F129</f>
        <v>0</v>
      </c>
      <c r="E42" s="472"/>
      <c r="F42" s="475">
        <v>0</v>
      </c>
      <c r="G42" s="475"/>
      <c r="H42" s="475"/>
      <c r="I42" s="472">
        <f t="shared" ref="I42:I64" si="6">K129</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
      <c r="A67" s="585" t="s">
        <v>382</v>
      </c>
      <c r="B67" s="587" t="s">
        <v>240</v>
      </c>
      <c r="C67" s="587" t="s">
        <v>151</v>
      </c>
      <c r="D67" s="655"/>
      <c r="E67" s="654"/>
      <c r="F67" s="475">
        <v>100</v>
      </c>
      <c r="G67" s="475"/>
      <c r="H67" s="475"/>
      <c r="I67" s="475"/>
      <c r="J67" s="475"/>
      <c r="K67" s="475"/>
      <c r="L67" s="475"/>
      <c r="M67" s="475"/>
      <c r="N67" s="475"/>
      <c r="O67" s="475"/>
      <c r="P67" s="475"/>
      <c r="Q67" s="475"/>
      <c r="R67" s="475"/>
      <c r="S67" s="688"/>
      <c r="T67" s="475"/>
      <c r="U67" s="475"/>
      <c r="V67" s="475"/>
      <c r="W67" s="475"/>
      <c r="X67" s="475"/>
      <c r="Y67" s="475"/>
      <c r="Z67" s="475"/>
      <c r="AA67" s="475"/>
      <c r="AB67" s="475"/>
      <c r="AC67" s="475"/>
      <c r="AD67" s="563">
        <f t="shared" si="9"/>
        <v>100</v>
      </c>
      <c r="AE67" s="649">
        <f t="shared" si="10"/>
        <v>0</v>
      </c>
      <c r="AF67" s="650" t="str">
        <f t="shared" si="11"/>
        <v>sell</v>
      </c>
    </row>
    <row r="68" spans="1:32" s="356" customFormat="1" x14ac:dyDescent="0.2">
      <c r="A68" s="585" t="s">
        <v>67</v>
      </c>
      <c r="B68" s="584" t="s">
        <v>240</v>
      </c>
      <c r="C68" s="584" t="s">
        <v>151</v>
      </c>
      <c r="D68" s="655"/>
      <c r="E68" s="654"/>
      <c r="F68" s="475"/>
      <c r="G68" s="475"/>
      <c r="H68" s="475"/>
      <c r="I68" s="475"/>
      <c r="J68" s="475"/>
      <c r="K68" s="475"/>
      <c r="L68" s="475"/>
      <c r="M68" s="475">
        <v>25</v>
      </c>
      <c r="N68" s="475">
        <v>25</v>
      </c>
      <c r="O68" s="475">
        <v>25</v>
      </c>
      <c r="P68" s="475">
        <v>25</v>
      </c>
      <c r="Q68" s="475">
        <v>25</v>
      </c>
      <c r="R68" s="475">
        <v>25</v>
      </c>
      <c r="S68" s="475">
        <v>25</v>
      </c>
      <c r="T68" s="475">
        <v>25</v>
      </c>
      <c r="U68" s="475">
        <v>25</v>
      </c>
      <c r="V68" s="475">
        <v>25</v>
      </c>
      <c r="W68" s="475">
        <v>25</v>
      </c>
      <c r="X68" s="475">
        <v>25</v>
      </c>
      <c r="Y68" s="475">
        <v>25</v>
      </c>
      <c r="Z68" s="475">
        <v>25</v>
      </c>
      <c r="AA68" s="475">
        <v>25</v>
      </c>
      <c r="AB68" s="475">
        <v>25</v>
      </c>
      <c r="AC68" s="475"/>
      <c r="AD68" s="563">
        <f>SUM(E68:AC68)</f>
        <v>400</v>
      </c>
      <c r="AE68" s="649">
        <f>AD68*D68</f>
        <v>0</v>
      </c>
      <c r="AF68" s="650" t="str">
        <f>IF(AD68&lt;0,"buy","sell")</f>
        <v>sell</v>
      </c>
    </row>
    <row r="69" spans="1:32" s="356" customFormat="1" ht="12.75" customHeight="1" x14ac:dyDescent="0.2">
      <c r="A69" s="585" t="s">
        <v>224</v>
      </c>
      <c r="B69" s="587" t="s">
        <v>240</v>
      </c>
      <c r="C69" s="587" t="s">
        <v>268</v>
      </c>
      <c r="D69" s="655">
        <v>22.25</v>
      </c>
      <c r="E69" s="654"/>
      <c r="F69" s="475">
        <v>25</v>
      </c>
      <c r="G69" s="475">
        <v>25</v>
      </c>
      <c r="H69" s="475">
        <v>25</v>
      </c>
      <c r="I69" s="475">
        <v>25</v>
      </c>
      <c r="J69" s="475">
        <v>25</v>
      </c>
      <c r="K69" s="475">
        <v>25</v>
      </c>
      <c r="L69" s="475">
        <v>25</v>
      </c>
      <c r="M69" s="475"/>
      <c r="N69" s="475"/>
      <c r="O69" s="475"/>
      <c r="P69" s="475"/>
      <c r="Q69" s="475"/>
      <c r="R69" s="475"/>
      <c r="S69" s="688"/>
      <c r="T69" s="475"/>
      <c r="U69" s="475"/>
      <c r="V69" s="475"/>
      <c r="W69" s="475"/>
      <c r="X69" s="475"/>
      <c r="Y69" s="475"/>
      <c r="Z69" s="475"/>
      <c r="AA69" s="475"/>
      <c r="AB69" s="475"/>
      <c r="AC69" s="475">
        <v>25</v>
      </c>
      <c r="AD69" s="563">
        <f>SUM(E69:AC69)</f>
        <v>200</v>
      </c>
      <c r="AE69" s="649">
        <f>AD69*D69</f>
        <v>4450</v>
      </c>
      <c r="AF69" s="650" t="str">
        <f>IF(AD69&lt;0,"buy","sell")</f>
        <v>sell</v>
      </c>
    </row>
    <row r="70" spans="1:32" s="356" customFormat="1" ht="12.75" customHeight="1" x14ac:dyDescent="0.2">
      <c r="A70" s="585" t="s">
        <v>63</v>
      </c>
      <c r="B70" s="587" t="s">
        <v>240</v>
      </c>
      <c r="C70" s="587" t="s">
        <v>268</v>
      </c>
      <c r="D70" s="655"/>
      <c r="E70" s="654"/>
      <c r="F70" s="475"/>
      <c r="G70" s="475"/>
      <c r="H70" s="475"/>
      <c r="I70" s="475"/>
      <c r="J70" s="475"/>
      <c r="K70" s="475">
        <v>30</v>
      </c>
      <c r="L70" s="475">
        <v>30</v>
      </c>
      <c r="M70" s="475">
        <v>30</v>
      </c>
      <c r="N70" s="475">
        <v>30</v>
      </c>
      <c r="O70" s="475">
        <v>30</v>
      </c>
      <c r="P70" s="475">
        <v>30</v>
      </c>
      <c r="Q70" s="475">
        <v>30</v>
      </c>
      <c r="R70" s="475">
        <v>30</v>
      </c>
      <c r="S70" s="688">
        <v>30</v>
      </c>
      <c r="T70" s="475">
        <v>30</v>
      </c>
      <c r="U70" s="475">
        <v>30</v>
      </c>
      <c r="V70" s="475">
        <v>30</v>
      </c>
      <c r="W70" s="475">
        <v>30</v>
      </c>
      <c r="X70" s="475">
        <v>30</v>
      </c>
      <c r="Y70" s="475">
        <v>30</v>
      </c>
      <c r="Z70" s="475">
        <v>30</v>
      </c>
      <c r="AA70" s="475">
        <v>30</v>
      </c>
      <c r="AB70" s="475">
        <v>30</v>
      </c>
      <c r="AC70" s="475">
        <v>30</v>
      </c>
      <c r="AD70" s="563">
        <f>SUM(E70:AC70)</f>
        <v>570</v>
      </c>
      <c r="AE70" s="649">
        <f>AD70*D70</f>
        <v>0</v>
      </c>
      <c r="AF70" s="650" t="str">
        <f>IF(AD70&lt;0,"buy","sell")</f>
        <v>sell</v>
      </c>
    </row>
    <row r="71" spans="1:32" s="356" customFormat="1" ht="12.75" customHeight="1" x14ac:dyDescent="0.2">
      <c r="A71" s="585" t="s">
        <v>383</v>
      </c>
      <c r="B71" s="587" t="s">
        <v>240</v>
      </c>
      <c r="C71" s="587" t="s">
        <v>151</v>
      </c>
      <c r="D71" s="655">
        <v>23.5</v>
      </c>
      <c r="E71" s="654"/>
      <c r="F71" s="475"/>
      <c r="G71" s="475"/>
      <c r="H71" s="475"/>
      <c r="I71" s="475"/>
      <c r="J71" s="475"/>
      <c r="K71" s="475"/>
      <c r="L71" s="475"/>
      <c r="M71" s="475">
        <v>25</v>
      </c>
      <c r="N71" s="475">
        <v>25</v>
      </c>
      <c r="O71" s="475">
        <v>25</v>
      </c>
      <c r="P71" s="475">
        <v>25</v>
      </c>
      <c r="Q71" s="475">
        <v>25</v>
      </c>
      <c r="R71" s="475">
        <v>25</v>
      </c>
      <c r="S71" s="688">
        <v>25</v>
      </c>
      <c r="T71" s="475">
        <v>25</v>
      </c>
      <c r="U71" s="475">
        <v>25</v>
      </c>
      <c r="V71" s="475">
        <v>25</v>
      </c>
      <c r="W71" s="475">
        <v>25</v>
      </c>
      <c r="X71" s="475">
        <v>25</v>
      </c>
      <c r="Y71" s="475">
        <v>25</v>
      </c>
      <c r="Z71" s="475">
        <v>25</v>
      </c>
      <c r="AA71" s="475">
        <v>25</v>
      </c>
      <c r="AB71" s="475">
        <v>25</v>
      </c>
      <c r="AC71" s="475"/>
      <c r="AD71" s="563">
        <f t="shared" si="9"/>
        <v>400</v>
      </c>
      <c r="AE71" s="649">
        <f t="shared" si="10"/>
        <v>9400</v>
      </c>
      <c r="AF71" s="650" t="str">
        <f t="shared" si="11"/>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5"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
      <c r="A75" s="586"/>
      <c r="B75" s="589"/>
      <c r="C75" s="589"/>
      <c r="D75" s="588"/>
      <c r="E75" s="583"/>
      <c r="F75" s="656"/>
      <c r="G75" s="656"/>
      <c r="H75" s="656"/>
      <c r="I75" s="656"/>
      <c r="J75" s="656"/>
      <c r="K75" s="656"/>
      <c r="L75" s="656"/>
      <c r="M75" s="656"/>
      <c r="N75" s="656"/>
      <c r="O75" s="656"/>
      <c r="P75" s="656"/>
      <c r="Q75" s="656"/>
      <c r="R75" s="656"/>
      <c r="S75" s="656"/>
      <c r="T75" s="656"/>
      <c r="U75" s="656"/>
      <c r="V75" s="656"/>
      <c r="W75" s="656"/>
      <c r="X75" s="656"/>
      <c r="Y75" s="656"/>
      <c r="Z75" s="656"/>
      <c r="AA75" s="656"/>
      <c r="AB75" s="656"/>
      <c r="AC75" s="656"/>
      <c r="AD75" s="563">
        <f>SUM(E75:AC75)</f>
        <v>0</v>
      </c>
      <c r="AE75" s="649">
        <f>AD75*D75</f>
        <v>0</v>
      </c>
      <c r="AF75" s="650" t="str">
        <f>IF(AD75&lt;0,"buy","sell")</f>
        <v>sell</v>
      </c>
    </row>
    <row r="76" spans="1:32" s="356" customFormat="1" ht="15" x14ac:dyDescent="0.25">
      <c r="A76" s="691" t="s">
        <v>358</v>
      </c>
      <c r="B76" s="643"/>
      <c r="C76" s="578"/>
      <c r="D76" s="643"/>
      <c r="E76" s="363"/>
      <c r="F76" s="624"/>
      <c r="G76" s="624"/>
      <c r="H76" s="624"/>
      <c r="I76" s="624"/>
      <c r="J76" s="624"/>
      <c r="K76" s="624"/>
      <c r="L76" s="624"/>
      <c r="M76" s="624"/>
      <c r="N76" s="624"/>
      <c r="O76" s="624"/>
      <c r="P76" s="624"/>
      <c r="Q76" s="624"/>
      <c r="R76" s="624"/>
      <c r="S76" s="624"/>
      <c r="T76" s="624"/>
      <c r="U76" s="624"/>
      <c r="V76" s="624"/>
      <c r="W76" s="624"/>
      <c r="X76" s="624"/>
      <c r="Y76" s="624"/>
      <c r="Z76" s="624"/>
      <c r="AA76" s="624"/>
      <c r="AB76" s="624"/>
      <c r="AC76" s="624"/>
      <c r="AD76" s="643"/>
      <c r="AE76" s="646"/>
      <c r="AF76" s="646"/>
    </row>
    <row r="77" spans="1:32" s="356" customFormat="1" ht="12.75" customHeight="1" x14ac:dyDescent="0.2">
      <c r="A77" s="585"/>
      <c r="B77" s="584"/>
      <c r="C77" s="584"/>
      <c r="D77" s="655"/>
      <c r="E77" s="654"/>
      <c r="F77" s="475"/>
      <c r="G77" s="475"/>
      <c r="H77" s="475"/>
      <c r="I77" s="475"/>
      <c r="J77" s="475"/>
      <c r="K77" s="475"/>
      <c r="L77" s="475"/>
      <c r="M77" s="475"/>
      <c r="N77" s="475"/>
      <c r="O77" s="475"/>
      <c r="P77" s="475"/>
      <c r="Q77" s="475"/>
      <c r="R77" s="475"/>
      <c r="S77" s="475"/>
      <c r="T77" s="475"/>
      <c r="U77" s="475"/>
      <c r="V77" s="475"/>
      <c r="W77" s="475"/>
      <c r="X77" s="475"/>
      <c r="Y77" s="475"/>
      <c r="Z77" s="475"/>
      <c r="AA77" s="475"/>
      <c r="AB77" s="475"/>
      <c r="AC77" s="475"/>
      <c r="AD77" s="563">
        <f>SUM(E77:AC77)</f>
        <v>0</v>
      </c>
      <c r="AE77" s="649">
        <f>AD77*D77</f>
        <v>0</v>
      </c>
      <c r="AF77" s="650" t="str">
        <f>IF(AD77&lt;0,"buy","sell")</f>
        <v>sell</v>
      </c>
    </row>
    <row r="78" spans="1:32" s="356" customFormat="1" ht="12.75" customHeight="1" x14ac:dyDescent="0.2">
      <c r="A78" s="585" t="s">
        <v>63</v>
      </c>
      <c r="B78" s="584" t="s">
        <v>240</v>
      </c>
      <c r="C78" s="584" t="s">
        <v>151</v>
      </c>
      <c r="D78" s="655">
        <v>121</v>
      </c>
      <c r="E78" s="654"/>
      <c r="F78" s="475"/>
      <c r="G78" s="475"/>
      <c r="H78" s="475"/>
      <c r="I78" s="475"/>
      <c r="J78" s="475"/>
      <c r="K78" s="475"/>
      <c r="L78" s="475"/>
      <c r="M78" s="475">
        <v>-50</v>
      </c>
      <c r="N78" s="475">
        <v>-50</v>
      </c>
      <c r="O78" s="475">
        <v>-50</v>
      </c>
      <c r="P78" s="475">
        <v>-50</v>
      </c>
      <c r="Q78" s="475">
        <v>-50</v>
      </c>
      <c r="R78" s="475">
        <v>-50</v>
      </c>
      <c r="S78" s="475">
        <v>-50</v>
      </c>
      <c r="T78" s="475">
        <v>-50</v>
      </c>
      <c r="U78" s="475">
        <v>-50</v>
      </c>
      <c r="V78" s="475">
        <v>-50</v>
      </c>
      <c r="W78" s="475">
        <v>-50</v>
      </c>
      <c r="X78" s="475">
        <v>-50</v>
      </c>
      <c r="Y78" s="475">
        <v>-50</v>
      </c>
      <c r="Z78" s="475">
        <v>-50</v>
      </c>
      <c r="AA78" s="475">
        <v>-50</v>
      </c>
      <c r="AB78" s="475">
        <v>-50</v>
      </c>
      <c r="AC78" s="475"/>
      <c r="AD78" s="563">
        <f>SUM(E78:AC78)</f>
        <v>-800</v>
      </c>
      <c r="AE78" s="649">
        <f>AD78*D78</f>
        <v>-96800</v>
      </c>
      <c r="AF78" s="650" t="str">
        <f>IF(AD78&lt;0,"buy","sell")</f>
        <v>buy</v>
      </c>
    </row>
    <row r="79" spans="1:32" s="356" customFormat="1" ht="12.75" customHeight="1" x14ac:dyDescent="0.2">
      <c r="A79" s="585" t="s">
        <v>383</v>
      </c>
      <c r="B79" s="584" t="s">
        <v>240</v>
      </c>
      <c r="C79" s="584" t="s">
        <v>151</v>
      </c>
      <c r="D79" s="655">
        <v>141.19999999999999</v>
      </c>
      <c r="E79" s="654"/>
      <c r="F79" s="475"/>
      <c r="G79" s="475"/>
      <c r="H79" s="475"/>
      <c r="I79" s="475"/>
      <c r="J79" s="475"/>
      <c r="K79" s="475"/>
      <c r="L79" s="475"/>
      <c r="M79" s="475">
        <v>-25</v>
      </c>
      <c r="N79" s="475">
        <v>-25</v>
      </c>
      <c r="O79" s="475">
        <v>-25</v>
      </c>
      <c r="P79" s="475">
        <v>-25</v>
      </c>
      <c r="Q79" s="475">
        <v>-25</v>
      </c>
      <c r="R79" s="475">
        <v>-25</v>
      </c>
      <c r="S79" s="475">
        <v>-25</v>
      </c>
      <c r="T79" s="475">
        <v>-25</v>
      </c>
      <c r="U79" s="475">
        <v>-25</v>
      </c>
      <c r="V79" s="475">
        <v>-25</v>
      </c>
      <c r="W79" s="475">
        <v>-25</v>
      </c>
      <c r="X79" s="475">
        <v>-25</v>
      </c>
      <c r="Y79" s="475">
        <v>-25</v>
      </c>
      <c r="Z79" s="475">
        <v>-25</v>
      </c>
      <c r="AA79" s="475">
        <v>-25</v>
      </c>
      <c r="AB79" s="475">
        <v>-25</v>
      </c>
      <c r="AC79" s="475"/>
      <c r="AD79" s="563">
        <f>SUM(E79:AC79)</f>
        <v>-400</v>
      </c>
      <c r="AE79" s="649">
        <f>AD79*D79</f>
        <v>-56479.999999999993</v>
      </c>
      <c r="AF79" s="650" t="str">
        <f>IF(AD79&lt;0,"buy","sell")</f>
        <v>buy</v>
      </c>
    </row>
    <row r="80" spans="1:32" s="356" customFormat="1" x14ac:dyDescent="0.2">
      <c r="A80" s="585"/>
      <c r="B80" s="584"/>
      <c r="C80" s="584"/>
      <c r="D80" s="655"/>
      <c r="E80" s="654"/>
      <c r="F80" s="475"/>
      <c r="G80" s="475"/>
      <c r="H80" s="475"/>
      <c r="I80" s="475"/>
      <c r="J80" s="475"/>
      <c r="K80" s="475"/>
      <c r="L80" s="475"/>
      <c r="M80" s="475"/>
      <c r="N80" s="475"/>
      <c r="O80" s="475"/>
      <c r="P80" s="475"/>
      <c r="Q80" s="475"/>
      <c r="R80" s="475"/>
      <c r="S80" s="475"/>
      <c r="T80" s="475"/>
      <c r="U80" s="475"/>
      <c r="V80" s="475"/>
      <c r="W80" s="475"/>
      <c r="X80" s="475"/>
      <c r="Y80" s="475"/>
      <c r="Z80" s="475"/>
      <c r="AA80" s="475"/>
      <c r="AB80" s="475"/>
      <c r="AC80" s="475"/>
      <c r="AD80" s="563">
        <f>SUM(E80:AC80)</f>
        <v>0</v>
      </c>
      <c r="AE80" s="649">
        <f>AD80*D80</f>
        <v>0</v>
      </c>
      <c r="AF80" s="650" t="str">
        <f>IF(AD80&lt;0,"buy","sell")</f>
        <v>sell</v>
      </c>
    </row>
    <row r="81" spans="1:33" s="356" customFormat="1" ht="15" x14ac:dyDescent="0.25">
      <c r="A81" s="692" t="s">
        <v>359</v>
      </c>
      <c r="B81" s="537"/>
      <c r="C81" s="537"/>
      <c r="D81" s="537"/>
      <c r="E81" s="579"/>
      <c r="F81" s="537"/>
      <c r="G81" s="537"/>
      <c r="H81" s="537"/>
      <c r="I81" s="537"/>
      <c r="J81" s="537"/>
      <c r="K81" s="537"/>
      <c r="L81" s="537"/>
      <c r="M81" s="537"/>
      <c r="N81" s="537"/>
      <c r="O81" s="537"/>
      <c r="P81" s="537"/>
      <c r="Q81" s="537"/>
      <c r="R81" s="537"/>
      <c r="S81" s="689"/>
      <c r="T81" s="537"/>
      <c r="U81" s="537"/>
      <c r="V81" s="537"/>
      <c r="W81" s="537"/>
      <c r="X81" s="537"/>
      <c r="Y81" s="537"/>
      <c r="Z81" s="537"/>
      <c r="AA81" s="537"/>
      <c r="AB81" s="537"/>
      <c r="AC81" s="537"/>
      <c r="AD81" s="537"/>
      <c r="AE81" s="537"/>
      <c r="AF81" s="537"/>
      <c r="AG81" s="466"/>
    </row>
    <row r="82" spans="1:33" s="356" customFormat="1" x14ac:dyDescent="0.2">
      <c r="A82" s="682"/>
      <c r="B82" s="589"/>
      <c r="C82" s="683"/>
      <c r="D82" s="588"/>
      <c r="E82" s="684"/>
      <c r="F82" s="656"/>
      <c r="G82" s="685"/>
      <c r="H82" s="685"/>
      <c r="I82" s="685"/>
      <c r="J82" s="685"/>
      <c r="K82" s="685"/>
      <c r="L82" s="685"/>
      <c r="M82" s="685"/>
      <c r="N82" s="685"/>
      <c r="O82" s="685"/>
      <c r="P82" s="685"/>
      <c r="Q82" s="685"/>
      <c r="R82" s="685"/>
      <c r="S82" s="690"/>
      <c r="T82" s="685"/>
      <c r="U82" s="685"/>
      <c r="V82" s="685"/>
      <c r="W82" s="685"/>
      <c r="X82" s="685"/>
      <c r="Y82" s="685"/>
      <c r="Z82" s="685"/>
      <c r="AA82" s="685"/>
      <c r="AB82" s="685"/>
      <c r="AC82" s="685"/>
      <c r="AD82" s="563">
        <f>SUM(AA82:AC82)</f>
        <v>0</v>
      </c>
      <c r="AE82" s="649">
        <f t="shared" ref="AE82:AE89" si="12">AD82*D82</f>
        <v>0</v>
      </c>
      <c r="AF82" s="650"/>
    </row>
    <row r="83" spans="1:33" s="356" customFormat="1" x14ac:dyDescent="0.2">
      <c r="A83" s="682" t="s">
        <v>384</v>
      </c>
      <c r="B83" s="589" t="s">
        <v>381</v>
      </c>
      <c r="C83" s="683" t="s">
        <v>268</v>
      </c>
      <c r="D83" s="588">
        <v>32</v>
      </c>
      <c r="E83" s="684"/>
      <c r="F83" s="656"/>
      <c r="G83" s="685"/>
      <c r="H83" s="685"/>
      <c r="I83" s="685"/>
      <c r="J83" s="685"/>
      <c r="K83" s="685"/>
      <c r="L83" s="685">
        <v>-50</v>
      </c>
      <c r="M83" s="685"/>
      <c r="N83" s="685"/>
      <c r="O83" s="685"/>
      <c r="P83" s="690"/>
      <c r="Q83" s="690"/>
      <c r="R83" s="690"/>
      <c r="S83" s="690"/>
      <c r="T83" s="685"/>
      <c r="U83" s="685"/>
      <c r="V83" s="685"/>
      <c r="W83" s="685"/>
      <c r="X83" s="685"/>
      <c r="Y83" s="685"/>
      <c r="Z83" s="685"/>
      <c r="AA83" s="685"/>
      <c r="AB83" s="685"/>
      <c r="AC83" s="685"/>
      <c r="AD83" s="563">
        <f t="shared" ref="AD83:AD88" si="13">SUM(E83:AC83)</f>
        <v>-50</v>
      </c>
      <c r="AE83" s="649">
        <f t="shared" si="12"/>
        <v>-1600</v>
      </c>
      <c r="AF83" s="650" t="str">
        <f t="shared" ref="AF83:AF88" si="14">IF(AD83&lt;0,"buy","sell")</f>
        <v>buy</v>
      </c>
    </row>
    <row r="84" spans="1:33" s="356" customFormat="1" x14ac:dyDescent="0.2">
      <c r="A84" s="682" t="s">
        <v>384</v>
      </c>
      <c r="B84" s="589" t="s">
        <v>381</v>
      </c>
      <c r="C84" s="683" t="s">
        <v>268</v>
      </c>
      <c r="D84" s="588">
        <v>35</v>
      </c>
      <c r="E84" s="684"/>
      <c r="F84" s="656"/>
      <c r="G84" s="685"/>
      <c r="H84" s="685"/>
      <c r="I84" s="685"/>
      <c r="J84" s="685"/>
      <c r="K84" s="685"/>
      <c r="L84" s="685"/>
      <c r="M84" s="685"/>
      <c r="N84" s="685">
        <v>-25</v>
      </c>
      <c r="O84" s="685"/>
      <c r="P84" s="690"/>
      <c r="Q84" s="690"/>
      <c r="R84" s="690"/>
      <c r="S84" s="690"/>
      <c r="T84" s="685"/>
      <c r="U84" s="685"/>
      <c r="V84" s="685"/>
      <c r="W84" s="685"/>
      <c r="X84" s="685"/>
      <c r="Y84" s="685"/>
      <c r="Z84" s="685"/>
      <c r="AA84" s="685"/>
      <c r="AB84" s="685"/>
      <c r="AC84" s="685"/>
      <c r="AD84" s="563">
        <f t="shared" si="13"/>
        <v>-25</v>
      </c>
      <c r="AE84" s="649">
        <f t="shared" si="12"/>
        <v>-875</v>
      </c>
      <c r="AF84" s="650" t="str">
        <f t="shared" si="14"/>
        <v>buy</v>
      </c>
    </row>
    <row r="85" spans="1:33" s="356" customFormat="1" x14ac:dyDescent="0.2">
      <c r="A85" s="682" t="s">
        <v>384</v>
      </c>
      <c r="B85" s="589" t="s">
        <v>381</v>
      </c>
      <c r="C85" s="683" t="s">
        <v>268</v>
      </c>
      <c r="D85" s="588">
        <v>30</v>
      </c>
      <c r="E85" s="684"/>
      <c r="F85" s="656"/>
      <c r="G85" s="685"/>
      <c r="H85" s="685"/>
      <c r="I85" s="685"/>
      <c r="J85" s="685"/>
      <c r="K85" s="685"/>
      <c r="L85" s="685"/>
      <c r="M85" s="685"/>
      <c r="N85" s="685"/>
      <c r="O85" s="685"/>
      <c r="P85" s="690">
        <v>-20</v>
      </c>
      <c r="Q85" s="690"/>
      <c r="R85" s="690"/>
      <c r="S85" s="690"/>
      <c r="T85" s="685"/>
      <c r="U85" s="685"/>
      <c r="V85" s="685"/>
      <c r="W85" s="685"/>
      <c r="X85" s="685"/>
      <c r="Y85" s="685"/>
      <c r="Z85" s="685"/>
      <c r="AA85" s="685"/>
      <c r="AB85" s="685"/>
      <c r="AC85" s="685"/>
      <c r="AD85" s="563">
        <f t="shared" si="13"/>
        <v>-20</v>
      </c>
      <c r="AE85" s="649">
        <f t="shared" si="12"/>
        <v>-600</v>
      </c>
      <c r="AF85" s="650" t="str">
        <f t="shared" si="14"/>
        <v>buy</v>
      </c>
    </row>
    <row r="86" spans="1:33" s="356" customFormat="1" x14ac:dyDescent="0.2">
      <c r="A86" s="682" t="s">
        <v>384</v>
      </c>
      <c r="B86" s="589" t="s">
        <v>395</v>
      </c>
      <c r="C86" s="683" t="s">
        <v>268</v>
      </c>
      <c r="D86" s="588">
        <v>27</v>
      </c>
      <c r="E86" s="684"/>
      <c r="F86" s="656"/>
      <c r="G86" s="685"/>
      <c r="H86" s="685"/>
      <c r="I86" s="685"/>
      <c r="J86" s="685"/>
      <c r="K86" s="685"/>
      <c r="L86" s="685"/>
      <c r="M86" s="685"/>
      <c r="N86" s="685"/>
      <c r="O86" s="685"/>
      <c r="P86" s="690"/>
      <c r="Q86" s="690"/>
      <c r="R86" s="690"/>
      <c r="S86" s="690"/>
      <c r="T86" s="685"/>
      <c r="U86" s="685"/>
      <c r="V86" s="685"/>
      <c r="W86" s="685"/>
      <c r="X86" s="685">
        <v>-25</v>
      </c>
      <c r="Y86" s="685"/>
      <c r="Z86" s="685"/>
      <c r="AA86" s="685"/>
      <c r="AB86" s="685"/>
      <c r="AC86" s="685"/>
      <c r="AD86" s="563">
        <f t="shared" si="13"/>
        <v>-25</v>
      </c>
      <c r="AE86" s="649">
        <f t="shared" si="12"/>
        <v>-675</v>
      </c>
      <c r="AF86" s="650" t="str">
        <f t="shared" si="14"/>
        <v>buy</v>
      </c>
    </row>
    <row r="87" spans="1:33" s="356" customFormat="1" x14ac:dyDescent="0.2">
      <c r="A87" s="682" t="s">
        <v>63</v>
      </c>
      <c r="B87" s="589" t="s">
        <v>381</v>
      </c>
      <c r="C87" s="683" t="s">
        <v>151</v>
      </c>
      <c r="D87" s="588">
        <v>40</v>
      </c>
      <c r="E87" s="684"/>
      <c r="F87" s="656"/>
      <c r="G87" s="685"/>
      <c r="H87" s="685"/>
      <c r="I87" s="685"/>
      <c r="J87" s="685"/>
      <c r="K87" s="685"/>
      <c r="L87" s="685"/>
      <c r="M87" s="685">
        <v>-38</v>
      </c>
      <c r="N87" s="685">
        <v>-50</v>
      </c>
      <c r="O87" s="685"/>
      <c r="P87" s="690"/>
      <c r="Q87" s="690"/>
      <c r="R87" s="690"/>
      <c r="S87" s="690"/>
      <c r="T87" s="685"/>
      <c r="U87" s="685"/>
      <c r="V87" s="685"/>
      <c r="W87" s="685"/>
      <c r="X87" s="685"/>
      <c r="Y87" s="685"/>
      <c r="Z87" s="685"/>
      <c r="AA87" s="685"/>
      <c r="AB87" s="685"/>
      <c r="AC87" s="685"/>
      <c r="AD87" s="563">
        <f t="shared" si="13"/>
        <v>-88</v>
      </c>
      <c r="AE87" s="649">
        <f t="shared" si="12"/>
        <v>-3520</v>
      </c>
      <c r="AF87" s="650" t="str">
        <f t="shared" si="14"/>
        <v>buy</v>
      </c>
    </row>
    <row r="88" spans="1:33" s="356" customFormat="1" x14ac:dyDescent="0.2">
      <c r="A88" s="682" t="s">
        <v>67</v>
      </c>
      <c r="B88" s="589" t="s">
        <v>381</v>
      </c>
      <c r="C88" s="683" t="s">
        <v>151</v>
      </c>
      <c r="D88" s="588">
        <v>34</v>
      </c>
      <c r="E88" s="684"/>
      <c r="F88" s="656"/>
      <c r="G88" s="685"/>
      <c r="H88" s="685"/>
      <c r="I88" s="685"/>
      <c r="J88" s="685"/>
      <c r="K88" s="685"/>
      <c r="L88" s="685"/>
      <c r="M88" s="685"/>
      <c r="N88" s="685"/>
      <c r="O88" s="685">
        <v>-20</v>
      </c>
      <c r="P88" s="690"/>
      <c r="Q88" s="690"/>
      <c r="R88" s="690"/>
      <c r="S88" s="690"/>
      <c r="T88" s="685"/>
      <c r="U88" s="685"/>
      <c r="V88" s="685"/>
      <c r="W88" s="685"/>
      <c r="X88" s="685"/>
      <c r="Y88" s="685"/>
      <c r="Z88" s="685"/>
      <c r="AA88" s="685"/>
      <c r="AB88" s="685"/>
      <c r="AC88" s="685"/>
      <c r="AD88" s="563">
        <f t="shared" si="13"/>
        <v>-20</v>
      </c>
      <c r="AE88" s="649">
        <f t="shared" si="12"/>
        <v>-680</v>
      </c>
      <c r="AF88" s="650" t="str">
        <f t="shared" si="14"/>
        <v>buy</v>
      </c>
    </row>
    <row r="89" spans="1:33" s="356" customFormat="1" x14ac:dyDescent="0.2">
      <c r="A89" s="682"/>
      <c r="B89" s="589"/>
      <c r="C89" s="683"/>
      <c r="D89" s="588"/>
      <c r="E89" s="684"/>
      <c r="F89" s="656"/>
      <c r="G89" s="685"/>
      <c r="H89" s="685"/>
      <c r="I89" s="685"/>
      <c r="J89" s="685"/>
      <c r="K89" s="685"/>
      <c r="L89" s="685"/>
      <c r="M89" s="685"/>
      <c r="N89" s="685"/>
      <c r="O89" s="685"/>
      <c r="P89" s="685"/>
      <c r="Q89" s="685"/>
      <c r="R89" s="685"/>
      <c r="S89" s="685"/>
      <c r="T89" s="685"/>
      <c r="U89" s="685"/>
      <c r="V89" s="685"/>
      <c r="W89" s="685"/>
      <c r="X89" s="685"/>
      <c r="Y89" s="685"/>
      <c r="Z89" s="685"/>
      <c r="AA89" s="685"/>
      <c r="AB89" s="685"/>
      <c r="AC89" s="685"/>
      <c r="AD89" s="563">
        <f>SUM(AA89:AC89)</f>
        <v>0</v>
      </c>
      <c r="AE89" s="649">
        <f t="shared" si="12"/>
        <v>0</v>
      </c>
      <c r="AF89" s="650"/>
    </row>
    <row r="90" spans="1:33" s="356" customFormat="1" ht="15" x14ac:dyDescent="0.25">
      <c r="A90" s="692" t="s">
        <v>362</v>
      </c>
      <c r="B90" s="537"/>
      <c r="C90" s="537"/>
      <c r="D90" s="537"/>
      <c r="E90" s="579"/>
      <c r="F90" s="537"/>
      <c r="G90" s="537"/>
      <c r="H90" s="537"/>
      <c r="I90" s="537"/>
      <c r="J90" s="537"/>
      <c r="K90" s="537"/>
      <c r="L90" s="537"/>
      <c r="M90" s="537"/>
      <c r="N90" s="537"/>
      <c r="O90" s="537"/>
      <c r="P90" s="537"/>
      <c r="Q90" s="537"/>
      <c r="R90" s="537"/>
      <c r="S90" s="537"/>
      <c r="T90" s="537"/>
      <c r="U90" s="537"/>
      <c r="V90" s="537"/>
      <c r="W90" s="537"/>
      <c r="X90" s="537"/>
      <c r="Y90" s="537"/>
      <c r="Z90" s="537"/>
      <c r="AA90" s="537"/>
      <c r="AB90" s="537"/>
      <c r="AC90" s="537"/>
      <c r="AD90" s="537"/>
      <c r="AE90" s="537"/>
      <c r="AF90" s="537"/>
      <c r="AG90" s="466"/>
    </row>
    <row r="91" spans="1:33" s="356" customFormat="1" x14ac:dyDescent="0.2">
      <c r="A91" s="542"/>
      <c r="B91" s="547"/>
      <c r="C91" s="547"/>
      <c r="D91" s="661"/>
      <c r="E91" s="713"/>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SUM(AA91:AC91)</f>
        <v>0</v>
      </c>
      <c r="AE91" s="649">
        <f>AD91*D91</f>
        <v>0</v>
      </c>
      <c r="AF91" s="650" t="str">
        <f>IF(AD91&lt;0,"buy","sell")</f>
        <v>sell</v>
      </c>
    </row>
    <row r="92" spans="1:33" s="356" customFormat="1" x14ac:dyDescent="0.2">
      <c r="A92" s="542"/>
      <c r="B92" s="547"/>
      <c r="C92" s="547"/>
      <c r="D92" s="543"/>
      <c r="E92" s="71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53">
        <f>SUM(F97:AC97)</f>
        <v>0</v>
      </c>
      <c r="AE92" s="554">
        <f>AD92*D92</f>
        <v>0</v>
      </c>
      <c r="AF92" s="525" t="str">
        <f>IF(AD92&lt;0,"buy","sell")</f>
        <v>sell</v>
      </c>
    </row>
    <row r="93" spans="1:33" s="356" customFormat="1" x14ac:dyDescent="0.2">
      <c r="A93" s="545" t="s">
        <v>206</v>
      </c>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0"/>
      <c r="AA93" s="480"/>
      <c r="AB93" s="480"/>
      <c r="AC93" s="480"/>
      <c r="AD93" s="480"/>
      <c r="AE93" s="480"/>
      <c r="AF93" s="480"/>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0"/>
      <c r="AA94" s="440"/>
      <c r="AB94" s="440"/>
      <c r="AC94" s="528"/>
      <c r="AD94" s="457"/>
      <c r="AE94" s="458"/>
      <c r="AF94" s="440"/>
    </row>
    <row r="95" spans="1:33" s="356" customFormat="1" ht="18" x14ac:dyDescent="0.25">
      <c r="A95" s="680" t="s">
        <v>363</v>
      </c>
      <c r="B95" s="431"/>
      <c r="C95" s="538"/>
      <c r="D95" s="432"/>
      <c r="E95" s="432"/>
      <c r="F95" s="433"/>
      <c r="G95" s="434"/>
      <c r="H95" s="370"/>
      <c r="I95" s="370"/>
      <c r="J95" s="370"/>
      <c r="K95" s="371"/>
      <c r="L95" s="370"/>
      <c r="M95" s="370"/>
      <c r="N95" s="370"/>
      <c r="O95" s="370"/>
      <c r="P95" s="370"/>
      <c r="Q95" s="370"/>
      <c r="R95" s="370"/>
      <c r="S95" s="370" t="s">
        <v>15</v>
      </c>
      <c r="T95" s="370"/>
      <c r="U95" s="370"/>
      <c r="V95" s="370"/>
      <c r="W95" s="370"/>
      <c r="X95" s="370"/>
      <c r="Y95" s="370"/>
      <c r="Z95" s="372"/>
      <c r="AA95" s="372"/>
      <c r="AB95" s="372"/>
      <c r="AC95" s="529"/>
      <c r="AD95" s="457"/>
      <c r="AE95" s="458"/>
      <c r="AF95" s="372"/>
    </row>
    <row r="96" spans="1:33" s="356" customFormat="1" x14ac:dyDescent="0.2">
      <c r="A96" s="435"/>
      <c r="B96" s="436"/>
      <c r="C96" s="436"/>
      <c r="D96" s="432"/>
      <c r="E96" s="432"/>
      <c r="F96" s="434"/>
      <c r="G96" s="434"/>
      <c r="H96" s="370"/>
      <c r="I96" s="370"/>
      <c r="J96" s="370"/>
      <c r="K96" s="373"/>
      <c r="L96" s="373"/>
      <c r="M96" s="370"/>
      <c r="N96" s="370"/>
      <c r="O96" s="370"/>
      <c r="P96" s="370"/>
      <c r="Q96" s="370"/>
      <c r="R96" s="370"/>
      <c r="S96" s="370"/>
      <c r="T96" s="370"/>
      <c r="U96" s="370"/>
      <c r="V96" s="370"/>
      <c r="W96" s="370"/>
      <c r="X96" s="370"/>
      <c r="Y96" s="370"/>
      <c r="Z96" s="372"/>
      <c r="AA96" s="372"/>
      <c r="AB96" s="372"/>
      <c r="AC96" s="529"/>
      <c r="AD96" s="457"/>
      <c r="AE96" s="458"/>
      <c r="AF96" s="372"/>
    </row>
    <row r="97" spans="1:33" s="356" customFormat="1" ht="18" x14ac:dyDescent="0.25">
      <c r="A97" s="438"/>
      <c r="B97" s="439"/>
      <c r="C97" s="439"/>
      <c r="D97" s="439"/>
      <c r="E97" s="439"/>
      <c r="F97" s="678"/>
      <c r="G97" s="679"/>
      <c r="H97" s="370"/>
      <c r="I97" s="370"/>
      <c r="J97" s="370"/>
      <c r="K97" s="373"/>
      <c r="L97" s="371"/>
      <c r="M97" s="370"/>
      <c r="N97" s="370"/>
      <c r="O97" s="370"/>
      <c r="P97" s="370"/>
      <c r="Q97" s="370"/>
      <c r="R97" s="370"/>
      <c r="S97" s="370"/>
      <c r="T97" s="370"/>
      <c r="U97" s="370"/>
      <c r="V97" s="370"/>
      <c r="W97" s="370"/>
      <c r="X97" s="370"/>
      <c r="Y97" s="370"/>
      <c r="AA97" s="372"/>
      <c r="AB97" s="372"/>
      <c r="AC97" s="529"/>
      <c r="AD97" s="457"/>
      <c r="AE97" s="458"/>
      <c r="AF97" s="372"/>
    </row>
    <row r="98" spans="1:33" s="356" customFormat="1" ht="18" x14ac:dyDescent="0.25">
      <c r="A98" s="438"/>
      <c r="B98" s="439"/>
      <c r="C98" s="439"/>
      <c r="D98" s="551"/>
      <c r="E98" s="439"/>
      <c r="F98" s="437"/>
      <c r="G98" s="434"/>
      <c r="H98" s="370"/>
      <c r="I98" s="370"/>
      <c r="J98" s="370"/>
      <c r="K98" s="373"/>
      <c r="L98" s="371"/>
      <c r="M98" s="370"/>
      <c r="N98" s="370"/>
      <c r="O98" s="370"/>
      <c r="P98" s="370"/>
      <c r="Q98" s="370"/>
      <c r="R98" s="370"/>
      <c r="S98" s="370"/>
      <c r="T98" s="370"/>
      <c r="U98" s="370"/>
      <c r="V98" s="370"/>
      <c r="W98" s="370"/>
      <c r="X98" s="370"/>
      <c r="Y98" s="370"/>
      <c r="Z98" s="372" t="s">
        <v>207</v>
      </c>
      <c r="AA98" s="372"/>
      <c r="AB98" s="372"/>
      <c r="AC98" s="530"/>
      <c r="AD98" s="453"/>
      <c r="AE98" s="454"/>
      <c r="AF98" s="372"/>
    </row>
    <row r="99" spans="1:33" x14ac:dyDescent="0.2">
      <c r="A99" s="436"/>
      <c r="B99" s="436"/>
      <c r="C99" s="440"/>
      <c r="D99" s="555"/>
      <c r="E99" s="527"/>
      <c r="F99" s="561"/>
      <c r="G99" s="546"/>
      <c r="K99" s="373"/>
      <c r="M99" s="370"/>
      <c r="N99" s="370"/>
      <c r="Z99" s="372"/>
      <c r="AA99" s="531"/>
      <c r="AB99" s="531"/>
      <c r="AC99" s="530"/>
      <c r="AD99" s="402"/>
      <c r="AE99" s="402"/>
      <c r="AF99" s="531"/>
      <c r="AG99" s="356"/>
    </row>
    <row r="100" spans="1:33" s="356" customFormat="1" x14ac:dyDescent="0.2">
      <c r="A100" s="434"/>
      <c r="B100" s="434"/>
      <c r="C100" s="440"/>
      <c r="D100" s="555"/>
      <c r="E100" s="485"/>
      <c r="F100" s="561"/>
      <c r="G100" s="546"/>
      <c r="H100" s="370"/>
      <c r="I100" s="370"/>
      <c r="J100" s="370"/>
      <c r="K100" s="373"/>
      <c r="L100" s="370"/>
      <c r="M100" s="370"/>
      <c r="N100" s="370"/>
      <c r="O100" s="370"/>
      <c r="P100" s="370"/>
      <c r="Q100" s="370"/>
      <c r="R100" s="370"/>
      <c r="S100" s="370"/>
      <c r="T100" s="370"/>
      <c r="U100" s="370"/>
      <c r="V100" s="370"/>
      <c r="W100" s="370"/>
      <c r="X100" s="370"/>
      <c r="Y100" s="370"/>
      <c r="Z100" s="531" t="s">
        <v>261</v>
      </c>
      <c r="AA100" s="531"/>
      <c r="AB100" s="531"/>
      <c r="AC100" s="530"/>
      <c r="AD100" s="473">
        <f>SUM(AD16:AD66)+SUM(AD73:AD76)</f>
        <v>0</v>
      </c>
      <c r="AE100" s="473">
        <f>SUM(AE16:AE66)+SUM(AE73:AE76)</f>
        <v>0</v>
      </c>
      <c r="AF100" s="531"/>
    </row>
    <row r="101" spans="1:33" s="356" customFormat="1" x14ac:dyDescent="0.2">
      <c r="A101" s="436"/>
      <c r="B101" s="436"/>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262</v>
      </c>
      <c r="AA101" s="531"/>
      <c r="AB101" s="531"/>
      <c r="AC101" s="532"/>
      <c r="AD101" s="473">
        <f>SUM(AD76:AD80)+SUM(AD81:AD90)</f>
        <v>-1428</v>
      </c>
      <c r="AE101" s="473">
        <f>SUM(AE76:AE80)+SUM(AE81:AE90)</f>
        <v>-161230</v>
      </c>
      <c r="AF101" s="531"/>
    </row>
    <row r="102" spans="1:33" s="356" customFormat="1" x14ac:dyDescent="0.2">
      <c r="A102" s="434"/>
      <c r="B102" s="434"/>
      <c r="C102" s="440"/>
      <c r="D102" s="555"/>
      <c r="E102" s="485"/>
      <c r="F102" s="561"/>
      <c r="G102" s="546"/>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66"/>
      <c r="AF102" s="384"/>
    </row>
    <row r="103" spans="1:33" s="356" customFormat="1" x14ac:dyDescent="0.2">
      <c r="A103" s="436"/>
      <c r="B103" s="436"/>
      <c r="C103" s="440"/>
      <c r="D103" s="555"/>
      <c r="E103" s="485"/>
      <c r="F103" s="561"/>
      <c r="G103" s="546"/>
      <c r="H103" s="377"/>
      <c r="O103" s="370"/>
      <c r="P103" s="370"/>
      <c r="Q103" s="381"/>
      <c r="R103" s="381"/>
      <c r="S103" s="381"/>
      <c r="T103" s="381"/>
      <c r="U103" s="381"/>
      <c r="V103" s="381"/>
      <c r="W103" s="381"/>
      <c r="X103" s="381"/>
      <c r="Y103" s="381"/>
      <c r="Z103" s="533" t="s">
        <v>269</v>
      </c>
      <c r="AA103" s="533"/>
      <c r="AB103" s="533"/>
      <c r="AC103" s="534"/>
      <c r="AD103" s="477"/>
      <c r="AE103" s="478"/>
      <c r="AF103" s="402"/>
    </row>
    <row r="104" spans="1:33" s="356" customFormat="1" x14ac:dyDescent="0.2">
      <c r="A104" s="434"/>
      <c r="B104" s="434"/>
      <c r="C104" s="440"/>
      <c r="D104" s="555"/>
      <c r="E104" s="485"/>
      <c r="F104" s="561"/>
      <c r="G104" s="546"/>
      <c r="H104" s="370"/>
      <c r="O104" s="370"/>
      <c r="P104" s="370"/>
      <c r="Q104" s="370"/>
      <c r="R104" s="370"/>
      <c r="S104" s="370"/>
      <c r="T104" s="370"/>
      <c r="U104" s="370"/>
      <c r="V104" s="370"/>
      <c r="W104" s="370"/>
      <c r="X104" s="370"/>
      <c r="Y104" s="370"/>
      <c r="Z104" s="533"/>
      <c r="AA104" s="533"/>
      <c r="AB104" s="533"/>
      <c r="AC104" s="534"/>
      <c r="AD104" s="477"/>
      <c r="AE104" s="478"/>
      <c r="AF104" s="402"/>
    </row>
    <row r="105" spans="1:33" s="356" customFormat="1" x14ac:dyDescent="0.2">
      <c r="A105" s="436"/>
      <c r="B105" s="436"/>
      <c r="C105" s="440"/>
      <c r="D105" s="555"/>
      <c r="E105" s="485"/>
      <c r="F105" s="561"/>
      <c r="G105" s="546"/>
      <c r="H105" s="382"/>
      <c r="O105" s="370"/>
      <c r="P105" s="370"/>
      <c r="Q105" s="382"/>
      <c r="R105" s="382"/>
      <c r="S105" s="382"/>
      <c r="T105" s="382"/>
      <c r="U105" s="382"/>
      <c r="V105" s="382"/>
      <c r="W105" s="382"/>
      <c r="X105" s="382"/>
      <c r="Y105" s="382"/>
      <c r="Z105" s="533" t="s">
        <v>262</v>
      </c>
      <c r="AA105" s="533"/>
      <c r="AB105" s="533"/>
      <c r="AC105" s="534"/>
      <c r="AD105" s="479">
        <f>SUM(AD92:AD93)</f>
        <v>0</v>
      </c>
      <c r="AE105" s="479">
        <f>SUM(AE92:AE93)</f>
        <v>0</v>
      </c>
      <c r="AF105" s="402"/>
    </row>
    <row r="106" spans="1:33" s="356" customFormat="1" x14ac:dyDescent="0.2">
      <c r="A106" s="434"/>
      <c r="B106" s="434"/>
      <c r="C106" s="440"/>
      <c r="D106" s="555"/>
      <c r="E106" s="485"/>
      <c r="F106" s="561"/>
      <c r="G106" s="546"/>
      <c r="H106" s="382"/>
      <c r="O106" s="370"/>
      <c r="P106" s="370"/>
      <c r="Q106" s="382"/>
      <c r="R106" s="382"/>
      <c r="S106" s="382"/>
      <c r="T106" s="382"/>
      <c r="U106" s="382"/>
      <c r="V106" s="382"/>
      <c r="W106" s="382"/>
      <c r="X106" s="382"/>
      <c r="Y106" s="382"/>
      <c r="Z106" s="402"/>
      <c r="AA106" s="402"/>
      <c r="AB106" s="402"/>
      <c r="AC106" s="467"/>
      <c r="AD106" s="402"/>
      <c r="AE106" s="402"/>
      <c r="AF106" s="402"/>
    </row>
    <row r="107" spans="1:33" s="356" customFormat="1" x14ac:dyDescent="0.2">
      <c r="A107" s="436"/>
      <c r="B107" s="436"/>
      <c r="C107" s="440"/>
      <c r="D107" s="555"/>
      <c r="E107" s="485"/>
      <c r="F107" s="561"/>
      <c r="G107" s="546"/>
      <c r="H107" s="370"/>
      <c r="O107" s="370"/>
      <c r="P107" s="370"/>
      <c r="Q107" s="370"/>
      <c r="R107" s="370"/>
      <c r="S107" s="370"/>
      <c r="T107" s="370"/>
      <c r="U107" s="370"/>
      <c r="V107" s="370"/>
      <c r="W107" s="370"/>
      <c r="X107" s="370"/>
      <c r="Y107" s="370"/>
      <c r="Z107" s="402"/>
      <c r="AA107" s="402"/>
      <c r="AB107" s="402"/>
      <c r="AC107" s="467"/>
      <c r="AD107" s="402"/>
      <c r="AE107" s="402"/>
      <c r="AF107" s="402"/>
    </row>
    <row r="108" spans="1:33" s="402" customFormat="1" x14ac:dyDescent="0.2">
      <c r="A108" s="434"/>
      <c r="B108" s="434"/>
      <c r="C108" s="440"/>
      <c r="D108" s="555"/>
      <c r="E108" s="485"/>
      <c r="F108" s="561"/>
      <c r="G108" s="546"/>
      <c r="H108" s="370"/>
      <c r="I108" s="356"/>
      <c r="J108" s="356"/>
      <c r="K108" s="356"/>
      <c r="L108" s="356"/>
      <c r="M108" s="356"/>
      <c r="N108" s="356"/>
      <c r="O108" s="370"/>
      <c r="P108" s="370"/>
      <c r="Q108" s="370"/>
      <c r="R108" s="370"/>
      <c r="S108" s="370"/>
      <c r="T108" s="370"/>
      <c r="U108" s="370"/>
      <c r="V108" s="370"/>
      <c r="W108" s="370"/>
      <c r="X108" s="370"/>
      <c r="Y108" s="370"/>
      <c r="AC108" s="467"/>
      <c r="AG108" s="356"/>
    </row>
    <row r="109" spans="1:33" s="402" customFormat="1" ht="18" x14ac:dyDescent="0.25">
      <c r="A109" s="680" t="s">
        <v>357</v>
      </c>
      <c r="B109" s="436"/>
      <c r="C109" s="440"/>
      <c r="D109" s="555"/>
      <c r="E109" s="485"/>
      <c r="F109" s="561"/>
      <c r="G109" s="546"/>
      <c r="H109" s="383"/>
      <c r="I109" s="404"/>
      <c r="J109" s="404"/>
      <c r="K109" s="404"/>
      <c r="L109" s="404"/>
      <c r="M109" s="404"/>
      <c r="N109" s="404"/>
      <c r="O109" s="383"/>
      <c r="P109" s="383"/>
      <c r="Q109" s="383"/>
      <c r="R109" s="383"/>
      <c r="S109" s="383"/>
      <c r="T109" s="383"/>
      <c r="U109" s="383"/>
      <c r="V109" s="383"/>
      <c r="W109" s="383"/>
      <c r="X109" s="383"/>
      <c r="Y109" s="383"/>
      <c r="AC109" s="467"/>
      <c r="AG109" s="370"/>
    </row>
    <row r="110" spans="1:33" s="402" customFormat="1" x14ac:dyDescent="0.2">
      <c r="A110" s="434"/>
      <c r="B110" s="434"/>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AC110" s="467"/>
      <c r="AG110" s="356"/>
    </row>
    <row r="111" spans="1:33" s="402" customFormat="1" x14ac:dyDescent="0.2">
      <c r="A111" s="436"/>
      <c r="B111" s="436"/>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G111" s="356"/>
    </row>
    <row r="112" spans="1:33" s="402" customFormat="1" x14ac:dyDescent="0.2">
      <c r="A112" s="434"/>
      <c r="B112" s="434"/>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ht="15.75" x14ac:dyDescent="0.25">
      <c r="A113" s="681"/>
      <c r="B113" s="436"/>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4"/>
      <c r="B114" s="434"/>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6"/>
      <c r="B115" s="436"/>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4"/>
      <c r="B116" s="434"/>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535"/>
      <c r="AG116" s="356"/>
    </row>
    <row r="117" spans="1:33" s="402" customFormat="1" x14ac:dyDescent="0.2">
      <c r="A117" s="436"/>
      <c r="B117" s="436"/>
      <c r="C117" s="440"/>
      <c r="D117" s="555"/>
      <c r="E117" s="485"/>
      <c r="F117" s="561"/>
      <c r="G117" s="546"/>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68"/>
      <c r="AG117" s="356"/>
    </row>
    <row r="118" spans="1:33" s="402" customFormat="1" x14ac:dyDescent="0.2">
      <c r="A118" s="434"/>
      <c r="B118" s="434"/>
      <c r="C118" s="440"/>
      <c r="D118" s="555"/>
      <c r="E118" s="485"/>
      <c r="F118" s="561"/>
      <c r="G118" s="546"/>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536"/>
      <c r="AE118" s="461"/>
    </row>
    <row r="119" spans="1:33" s="460" customFormat="1" ht="13.5" thickBot="1" x14ac:dyDescent="0.25">
      <c r="A119" s="436"/>
      <c r="B119" s="436"/>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461"/>
      <c r="AE119" s="461"/>
      <c r="AF119" s="402"/>
      <c r="AG119" s="402"/>
    </row>
    <row r="120" spans="1:33" s="402" customFormat="1" x14ac:dyDescent="0.2">
      <c r="A120" s="434"/>
      <c r="B120" s="434"/>
      <c r="C120" s="440"/>
      <c r="D120" s="555"/>
      <c r="E120" s="485"/>
      <c r="F120" s="561"/>
      <c r="G120" s="546"/>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69"/>
      <c r="AD120" s="356"/>
      <c r="AE120" s="356"/>
    </row>
    <row r="121" spans="1:33" s="356" customFormat="1" x14ac:dyDescent="0.2">
      <c r="A121" s="436"/>
      <c r="B121" s="436"/>
      <c r="C121" s="440"/>
      <c r="D121" s="555"/>
      <c r="E121" s="485"/>
      <c r="F121" s="561"/>
      <c r="G121" s="546"/>
      <c r="H121" s="388"/>
      <c r="O121" s="411"/>
      <c r="P121" s="411"/>
      <c r="Q121" s="388"/>
      <c r="R121" s="388"/>
      <c r="S121" s="388"/>
      <c r="T121" s="388"/>
      <c r="U121" s="388"/>
      <c r="V121" s="388"/>
      <c r="W121" s="388"/>
      <c r="X121" s="388"/>
      <c r="Y121" s="388"/>
      <c r="Z121" s="388"/>
      <c r="AA121" s="388"/>
      <c r="AB121" s="388"/>
      <c r="AC121" s="469"/>
      <c r="AD121" s="457"/>
      <c r="AE121" s="535"/>
      <c r="AF121" s="537"/>
      <c r="AG121" s="402"/>
    </row>
    <row r="122" spans="1:33" s="356" customFormat="1" x14ac:dyDescent="0.2">
      <c r="A122" s="436"/>
      <c r="B122" s="434"/>
      <c r="C122" s="440"/>
      <c r="D122" s="555"/>
      <c r="E122" s="527"/>
      <c r="F122" s="561"/>
      <c r="G122" s="546"/>
      <c r="H122" s="391"/>
      <c r="O122" s="412"/>
      <c r="P122" s="412"/>
      <c r="Q122" s="391"/>
      <c r="R122" s="391"/>
      <c r="S122" s="391"/>
      <c r="T122" s="391"/>
      <c r="U122" s="391"/>
      <c r="V122" s="391"/>
      <c r="W122" s="391"/>
      <c r="X122" s="391"/>
      <c r="Y122" s="391"/>
      <c r="Z122" s="388"/>
      <c r="AA122" s="388"/>
      <c r="AB122" s="388"/>
      <c r="AC122" s="469"/>
      <c r="AD122" s="457"/>
      <c r="AE122" s="535"/>
      <c r="AF122" s="537"/>
      <c r="AG122" s="402"/>
    </row>
    <row r="123" spans="1:33" s="356" customFormat="1" x14ac:dyDescent="0.2">
      <c r="A123" s="550"/>
      <c r="B123" s="436"/>
      <c r="C123" s="440"/>
      <c r="D123" s="556"/>
      <c r="E123" s="481"/>
      <c r="F123" s="561"/>
      <c r="G123" s="546"/>
      <c r="H123" s="391"/>
      <c r="O123" s="412"/>
      <c r="P123" s="412"/>
      <c r="Q123" s="391"/>
      <c r="R123" s="391"/>
      <c r="S123" s="391"/>
      <c r="T123" s="391"/>
      <c r="U123" s="391"/>
      <c r="V123" s="391"/>
      <c r="W123" s="391"/>
      <c r="X123" s="391"/>
      <c r="Y123" s="391"/>
      <c r="Z123" s="388"/>
      <c r="AA123" s="388"/>
      <c r="AB123" s="388"/>
      <c r="AC123" s="469"/>
      <c r="AD123" s="461"/>
      <c r="AE123" s="461"/>
      <c r="AF123" s="537"/>
      <c r="AG123" s="402"/>
    </row>
    <row r="124" spans="1:33" s="402" customFormat="1" x14ac:dyDescent="0.2">
      <c r="A124" s="356"/>
      <c r="B124" s="356"/>
      <c r="C124" s="356"/>
      <c r="D124" s="555"/>
      <c r="E124" s="356"/>
      <c r="F124" s="356"/>
      <c r="G124" s="434"/>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69"/>
      <c r="AF124" s="455"/>
    </row>
    <row r="125" spans="1:33" s="402" customFormat="1" ht="18" x14ac:dyDescent="0.25">
      <c r="A125" s="433"/>
      <c r="B125" s="442"/>
      <c r="C125" s="443"/>
      <c r="D125" s="557"/>
      <c r="E125" s="443"/>
      <c r="F125" s="443"/>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455"/>
    </row>
    <row r="126" spans="1:33" s="402" customFormat="1" x14ac:dyDescent="0.2">
      <c r="A126" s="434"/>
      <c r="B126" s="434"/>
      <c r="C126" s="434"/>
      <c r="D126" s="558"/>
      <c r="E126" s="434"/>
      <c r="F126" s="434"/>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356"/>
    </row>
    <row r="127" spans="1:33" s="402" customFormat="1" ht="18" x14ac:dyDescent="0.25">
      <c r="A127" s="438"/>
      <c r="B127" s="439"/>
      <c r="C127" s="439"/>
      <c r="D127" s="677"/>
      <c r="E127" s="439"/>
      <c r="F127" s="678"/>
      <c r="G127" s="439"/>
      <c r="H127" s="434"/>
      <c r="I127" s="356"/>
      <c r="J127" s="356"/>
      <c r="K127" s="356"/>
      <c r="L127" s="356"/>
      <c r="M127" s="356"/>
      <c r="N127" s="356"/>
      <c r="O127" s="444"/>
      <c r="P127" s="444"/>
      <c r="Q127" s="434"/>
      <c r="R127" s="434"/>
      <c r="S127" s="434"/>
      <c r="T127" s="434"/>
      <c r="U127" s="434"/>
      <c r="V127" s="434"/>
      <c r="W127" s="434"/>
      <c r="X127" s="434"/>
      <c r="Y127" s="391"/>
      <c r="Z127" s="391"/>
      <c r="AA127" s="391"/>
      <c r="AB127" s="391"/>
      <c r="AC127" s="470"/>
      <c r="AF127" s="356"/>
    </row>
    <row r="128" spans="1:33" s="402" customFormat="1" ht="18" x14ac:dyDescent="0.25">
      <c r="A128" s="438"/>
      <c r="B128" s="439"/>
      <c r="C128" s="439"/>
      <c r="D128" s="559"/>
      <c r="E128" s="437"/>
      <c r="F128" s="437"/>
      <c r="G128" s="434"/>
      <c r="H128" s="445"/>
      <c r="I128" s="446"/>
      <c r="J128" s="356"/>
      <c r="K128" s="356"/>
      <c r="L128" s="356"/>
      <c r="M128" s="447"/>
      <c r="N128" s="448"/>
      <c r="O128" s="444"/>
      <c r="P128" s="444"/>
      <c r="Q128" s="434"/>
      <c r="R128" s="434"/>
      <c r="S128" s="434"/>
      <c r="T128" s="434"/>
      <c r="U128" s="434"/>
      <c r="V128" s="434"/>
      <c r="W128" s="434"/>
      <c r="X128" s="434"/>
      <c r="Y128" s="391"/>
      <c r="Z128" s="391"/>
      <c r="AA128" s="391"/>
      <c r="AB128" s="391"/>
      <c r="AC128" s="470"/>
      <c r="AF128" s="356"/>
    </row>
    <row r="129" spans="1:33" s="402" customFormat="1" ht="13.5" thickBot="1" x14ac:dyDescent="0.25">
      <c r="A129" s="436"/>
      <c r="B129" s="434"/>
      <c r="C129" s="440"/>
      <c r="D129" s="555"/>
      <c r="E129" s="527"/>
      <c r="F129" s="561"/>
      <c r="G129" s="546"/>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356"/>
      <c r="AE129" s="356"/>
      <c r="AF129" s="356"/>
      <c r="AG129" s="460"/>
    </row>
    <row r="130" spans="1:33" s="402" customFormat="1" x14ac:dyDescent="0.2">
      <c r="A130" s="434"/>
      <c r="B130" s="434"/>
      <c r="C130" s="440"/>
      <c r="D130" s="560"/>
      <c r="E130" s="485"/>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403"/>
      <c r="AE130" s="356"/>
      <c r="AF130" s="356"/>
    </row>
    <row r="131" spans="1:33" s="402" customFormat="1" x14ac:dyDescent="0.2">
      <c r="A131" s="436"/>
      <c r="B131" s="434"/>
      <c r="C131" s="440"/>
      <c r="D131" s="556"/>
      <c r="E131" s="485"/>
      <c r="F131" s="561"/>
      <c r="G131" s="546"/>
      <c r="I131" s="449"/>
      <c r="J131" s="450"/>
      <c r="K131" s="376"/>
      <c r="L131" s="376"/>
      <c r="M131" s="376"/>
      <c r="N131" s="376"/>
      <c r="O131" s="444"/>
      <c r="P131" s="444"/>
      <c r="Q131" s="434"/>
      <c r="R131" s="434"/>
      <c r="S131" s="434"/>
      <c r="T131" s="434"/>
      <c r="U131" s="434"/>
      <c r="V131" s="434"/>
      <c r="W131" s="434"/>
      <c r="X131" s="434"/>
      <c r="Y131" s="391"/>
      <c r="Z131" s="391"/>
      <c r="AA131" s="452"/>
      <c r="AB131" s="391"/>
      <c r="AC131" s="470"/>
      <c r="AF131" s="356"/>
      <c r="AG131" s="356"/>
    </row>
    <row r="132" spans="1:33" s="402" customFormat="1" x14ac:dyDescent="0.2">
      <c r="A132" s="434"/>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29"/>
      <c r="AE132" s="430"/>
      <c r="AF132" s="356"/>
      <c r="AG132" s="356"/>
    </row>
    <row r="133" spans="1:33" s="402" customFormat="1" x14ac:dyDescent="0.2">
      <c r="A133" s="436"/>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c r="AG133" s="356"/>
    </row>
    <row r="134" spans="1:33" s="402" customFormat="1" x14ac:dyDescent="0.2">
      <c r="A134" s="434"/>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row>
    <row r="135" spans="1:33" s="402" customFormat="1" x14ac:dyDescent="0.2">
      <c r="A135" s="436"/>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
      <c r="A136" s="434"/>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6"/>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
      <c r="A138" s="434"/>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8"/>
      <c r="AE138" s="398"/>
      <c r="AF138" s="403"/>
    </row>
    <row r="139" spans="1:33" s="402" customFormat="1" x14ac:dyDescent="0.2">
      <c r="A139" s="436"/>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403"/>
    </row>
    <row r="140" spans="1:33" s="402" customFormat="1" x14ac:dyDescent="0.2">
      <c r="A140" s="434"/>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
      <c r="A141" s="436"/>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4"/>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3"/>
      <c r="AF142" s="403"/>
    </row>
    <row r="143" spans="1:33" s="402" customFormat="1" x14ac:dyDescent="0.2">
      <c r="A143" s="436"/>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4"/>
      <c r="AF143" s="356"/>
    </row>
    <row r="144" spans="1:33" s="402" customFormat="1" x14ac:dyDescent="0.2">
      <c r="A144" s="434"/>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356"/>
    </row>
    <row r="145" spans="1:32" s="402" customFormat="1" x14ac:dyDescent="0.2">
      <c r="A145" s="436"/>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96"/>
      <c r="AE145" s="397"/>
      <c r="AF145" s="398"/>
    </row>
    <row r="146" spans="1:32" s="402" customFormat="1" x14ac:dyDescent="0.2">
      <c r="A146" s="434"/>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81"/>
      <c r="AE146" s="381"/>
      <c r="AF146" s="396"/>
    </row>
    <row r="147" spans="1:32" s="402" customFormat="1" x14ac:dyDescent="0.2">
      <c r="A147" s="436"/>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96"/>
    </row>
    <row r="148" spans="1:32" s="402" customFormat="1" x14ac:dyDescent="0.2">
      <c r="A148" s="434"/>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94"/>
    </row>
    <row r="149" spans="1:32" s="402" customFormat="1" x14ac:dyDescent="0.2">
      <c r="A149" s="436"/>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67"/>
    </row>
    <row r="150" spans="1:32" s="402" customFormat="1" x14ac:dyDescent="0.2">
      <c r="A150" s="434"/>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
      <c r="A151" s="436"/>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56"/>
      <c r="E152" s="527"/>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83"/>
      <c r="AE152" s="383"/>
      <c r="AF152" s="374"/>
    </row>
    <row r="153" spans="1:32" s="402" customFormat="1" x14ac:dyDescent="0.2">
      <c r="A153" s="370"/>
      <c r="B153" s="434"/>
      <c r="C153" s="440"/>
      <c r="D153" s="556"/>
      <c r="E153" s="481"/>
      <c r="F153" s="561"/>
      <c r="G153" s="546"/>
      <c r="H153" s="441"/>
      <c r="I153" s="451"/>
      <c r="J153" s="450"/>
      <c r="K153" s="434"/>
      <c r="L153" s="434"/>
      <c r="M153" s="444"/>
      <c r="N153" s="444"/>
      <c r="O153" s="434"/>
      <c r="R153" s="434"/>
      <c r="S153" s="434"/>
      <c r="T153" s="434"/>
      <c r="U153" s="434"/>
      <c r="V153" s="434"/>
      <c r="W153" s="434"/>
      <c r="X153" s="434"/>
      <c r="Y153" s="370"/>
      <c r="Z153" s="370"/>
      <c r="AA153" s="370"/>
      <c r="AB153" s="370"/>
      <c r="AC153" s="465"/>
      <c r="AD153" s="384"/>
      <c r="AE153" s="384"/>
      <c r="AF153" s="374"/>
    </row>
    <row r="154" spans="1:32" s="402" customFormat="1" x14ac:dyDescent="0.2">
      <c r="A154" s="370"/>
      <c r="B154" s="370"/>
      <c r="C154" s="370"/>
      <c r="D154" s="552"/>
      <c r="E154" s="484"/>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12981.029775191328</v>
      </c>
      <c r="F25" s="33">
        <f t="shared" si="1"/>
        <v>1.96</v>
      </c>
      <c r="G25" s="32">
        <f t="shared" ca="1" si="0"/>
        <v>25442.818359375</v>
      </c>
      <c r="I25" s="31"/>
      <c r="J25" s="31"/>
      <c r="K25" s="31"/>
    </row>
    <row r="26" spans="1:12" x14ac:dyDescent="0.2">
      <c r="B26" s="234" t="s">
        <v>47</v>
      </c>
      <c r="C26" s="235">
        <v>1</v>
      </c>
      <c r="D26" s="235">
        <v>0</v>
      </c>
      <c r="E26" s="32">
        <f ca="1">-INDEX(Economics!$A$34:$D$45,MATCH(Fuel!B26,Economics!$A$34:$A$45,0),4)/Fuel!F26</f>
        <v>9035.4721380739793</v>
      </c>
      <c r="F26" s="33">
        <f t="shared" si="1"/>
        <v>1.96</v>
      </c>
      <c r="G26" s="32">
        <f t="shared" ca="1" si="0"/>
        <v>17709.525390625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1405.5493413185586</v>
      </c>
      <c r="F28" s="33">
        <f t="shared" si="1"/>
        <v>1.96</v>
      </c>
      <c r="G28" s="32">
        <f t="shared" ca="1" si="0"/>
        <v>2754.876708984375</v>
      </c>
      <c r="I28" s="31"/>
      <c r="J28" s="31"/>
      <c r="K28" s="31"/>
    </row>
    <row r="29" spans="1:12" x14ac:dyDescent="0.2">
      <c r="B29" s="234" t="s">
        <v>50</v>
      </c>
      <c r="C29" s="235">
        <v>1</v>
      </c>
      <c r="D29" s="235">
        <v>0</v>
      </c>
      <c r="E29" s="32">
        <f ca="1">-INDEX(Economics!$A$34:$D$45,MATCH(Fuel!B29,Economics!$A$34:$A$45,0),4)/Fuel!F29</f>
        <v>1231.9423130580358</v>
      </c>
      <c r="F29" s="33">
        <f t="shared" si="1"/>
        <v>1.96</v>
      </c>
      <c r="G29" s="32">
        <f t="shared" ca="1" si="0"/>
        <v>2414.60693359375</v>
      </c>
      <c r="I29" s="31"/>
      <c r="J29" s="31"/>
      <c r="K29" s="31"/>
    </row>
    <row r="30" spans="1:12" x14ac:dyDescent="0.2">
      <c r="B30" s="236"/>
      <c r="C30" s="36"/>
      <c r="D30" s="36"/>
      <c r="E30" s="34">
        <f ca="1">SUM(E22:E29)</f>
        <v>24653.993567641901</v>
      </c>
      <c r="F30" s="35"/>
      <c r="G30" s="34">
        <f ca="1">SUM(G22:G29)</f>
        <v>48321.827392578125</v>
      </c>
      <c r="I30" s="31"/>
      <c r="J30" s="31"/>
      <c r="K30" s="31"/>
    </row>
    <row r="31" spans="1:12" x14ac:dyDescent="0.2">
      <c r="B31" s="236"/>
      <c r="I31" s="31"/>
      <c r="J31" s="31"/>
      <c r="K31" s="31"/>
    </row>
    <row r="32" spans="1:12" ht="13.5" thickBot="1" x14ac:dyDescent="0.25">
      <c r="B32" s="236" t="s">
        <v>18</v>
      </c>
      <c r="E32" s="7">
        <f ca="1">E15+E18+E30</f>
        <v>24653.993567641901</v>
      </c>
      <c r="F32" s="8"/>
      <c r="G32" s="7">
        <f ca="1">G15+G18+G30</f>
        <v>48321.827392578125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501892.2</v>
      </c>
      <c r="C3" s="117">
        <f ca="1">6.8*0.75*E3</f>
        <v>123654.59999999999</v>
      </c>
      <c r="D3" s="117">
        <f ca="1">C3+B3</f>
        <v>625546.80000000005</v>
      </c>
      <c r="E3" s="118">
        <f ca="1">SUM(Preschedule!B59:Y59)</f>
        <v>24246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-120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-108</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-1682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770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900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-15964.428480000002</v>
      </c>
      <c r="C28" s="120"/>
      <c r="D28" s="120">
        <f ca="1">C28+B28</f>
        <v>-15964.428480000002</v>
      </c>
      <c r="E28" s="114">
        <f>SUM(Preschedule!B56:Y56)</f>
        <v>1221</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-29455.871999999999</v>
      </c>
      <c r="C30" s="120"/>
      <c r="D30" s="120">
        <f>C30+B30</f>
        <v>-29455.871999999999</v>
      </c>
      <c r="E30" s="114">
        <f>SUM(Preschedule!B53:Y53)</f>
        <v>4832</v>
      </c>
      <c r="F30" s="120">
        <f>H30*I30</f>
        <v>6.0960000000000001</v>
      </c>
      <c r="G30" s="79">
        <f>-IF(E30=0,0,D30/E30)</f>
        <v>6.0960000000000001</v>
      </c>
      <c r="H30" s="134">
        <v>10.16</v>
      </c>
      <c r="I30" s="135">
        <v>0.6</v>
      </c>
    </row>
    <row r="31" spans="1:9" x14ac:dyDescent="0.2">
      <c r="A31" s="83" t="s">
        <v>44</v>
      </c>
      <c r="B31" s="120">
        <f>-F31*E31</f>
        <v>-29468.064000000002</v>
      </c>
      <c r="C31" s="120"/>
      <c r="D31" s="120">
        <f>C31+B31</f>
        <v>-29468.064000000002</v>
      </c>
      <c r="E31" s="114">
        <f>SUM(Preschedule!B54:Y54)</f>
        <v>4834</v>
      </c>
      <c r="F31" s="120">
        <f>H31*I31</f>
        <v>6.0960000000000001</v>
      </c>
      <c r="G31" s="79">
        <f>-IF(E31=0,0,D31/E31)</f>
        <v>6.0960000000000001</v>
      </c>
      <c r="H31" s="134">
        <v>10.16</v>
      </c>
      <c r="I31" s="135">
        <v>0.6</v>
      </c>
    </row>
    <row r="32" spans="1:9" x14ac:dyDescent="0.2">
      <c r="A32" s="83" t="s">
        <v>45</v>
      </c>
      <c r="B32" s="120">
        <f>-F32*E32</f>
        <v>-29474.16</v>
      </c>
      <c r="C32" s="120"/>
      <c r="D32" s="120">
        <f>C32+B32</f>
        <v>-29474.16</v>
      </c>
      <c r="E32" s="114">
        <f>SUM(Preschedule!B55:Y55)</f>
        <v>4835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-17709.525390625</v>
      </c>
      <c r="C35" s="120"/>
      <c r="D35" s="120">
        <f t="shared" ref="D35:D45" ca="1" si="7">IF(ISTEXT(B35),0,C35+B35)</f>
        <v>-17709.525390625</v>
      </c>
      <c r="E35" s="114">
        <f>SUM(Preschedule!B42:Y42)</f>
        <v>831</v>
      </c>
      <c r="F35" s="120">
        <f t="shared" ref="F35:F45" ca="1" si="8">-IF(OR(ISTEXT(B35),E35=0),0,B35/E35)</f>
        <v>21.311101553098677</v>
      </c>
      <c r="G35" s="79">
        <f t="shared" ca="1" si="6"/>
        <v>21.311101553098677</v>
      </c>
      <c r="H35" s="136"/>
      <c r="I35" s="135">
        <v>1.96</v>
      </c>
    </row>
    <row r="36" spans="1:9" x14ac:dyDescent="0.2">
      <c r="A36" s="83" t="s">
        <v>48</v>
      </c>
      <c r="B36" s="120">
        <f ca="1">Gencost(Preschedule!B43:Y43,OFFSET(HeatRateStart,1,MATCH(A36,HeatRateNames,0)-1,250,1),I36)</f>
        <v>-25442.818359375</v>
      </c>
      <c r="C36" s="120"/>
      <c r="D36" s="120">
        <f t="shared" ca="1" si="7"/>
        <v>-25442.818359375</v>
      </c>
      <c r="E36" s="114">
        <f>SUM(Preschedule!B43:Y43)</f>
        <v>1232</v>
      </c>
      <c r="F36" s="120">
        <f t="shared" ca="1" si="8"/>
        <v>20.651638278713474</v>
      </c>
      <c r="G36" s="79">
        <f t="shared" ca="1" si="6"/>
        <v>20.651638278713474</v>
      </c>
      <c r="H36" s="136"/>
      <c r="I36" s="135">
        <f>INDEX(FuelPriceTable,MATCH(A36,FuelNames,0),5)</f>
        <v>1.96</v>
      </c>
    </row>
    <row r="37" spans="1:9" x14ac:dyDescent="0.2">
      <c r="A37" s="83" t="s">
        <v>49</v>
      </c>
      <c r="B37" s="120">
        <f ca="1">Gencost(Preschedule!B44:Y44,OFFSET(HeatRateStart,1,MATCH(A37,HeatRateNames,0)-1,250,1),I37)</f>
        <v>-2754.876708984375</v>
      </c>
      <c r="C37" s="120"/>
      <c r="D37" s="120">
        <f t="shared" ca="1" si="7"/>
        <v>-2754.876708984375</v>
      </c>
      <c r="E37" s="114">
        <f>SUM(Preschedule!B44:Y44)</f>
        <v>82</v>
      </c>
      <c r="F37" s="120">
        <f t="shared" ca="1" si="8"/>
        <v>33.596057426638723</v>
      </c>
      <c r="G37" s="79">
        <f t="shared" ca="1" si="6"/>
        <v>33.596057426638723</v>
      </c>
      <c r="H37" s="136"/>
      <c r="I37" s="135">
        <f t="shared" ref="I37:I45" si="9">INDEX(FuelPriceTable,MATCH(A37,FuelNames,0),5)</f>
        <v>1.96</v>
      </c>
    </row>
    <row r="38" spans="1:9" x14ac:dyDescent="0.2">
      <c r="A38" s="83" t="s">
        <v>50</v>
      </c>
      <c r="B38" s="120">
        <f ca="1">Gencost(Preschedule!B45:Y45,OFFSET(HeatRateStart,1,MATCH(A38,HeatRateNames,0)-1,250,1),I38)</f>
        <v>-2414.60693359375</v>
      </c>
      <c r="C38" s="120"/>
      <c r="D38" s="120">
        <f t="shared" ca="1" si="7"/>
        <v>-2414.60693359375</v>
      </c>
      <c r="E38" s="114">
        <f>SUM(Preschedule!B45:Y45)</f>
        <v>65</v>
      </c>
      <c r="F38" s="120">
        <f t="shared" ca="1" si="8"/>
        <v>37.147798978365387</v>
      </c>
      <c r="G38" s="79">
        <f t="shared" ca="1" si="6"/>
        <v>37.147798978365387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3204</v>
      </c>
      <c r="F41" s="120">
        <f t="shared" ca="1" si="8"/>
        <v>0</v>
      </c>
      <c r="G41" s="79">
        <f t="shared" ca="1"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37364.058333333334</v>
      </c>
    </row>
    <row r="2" spans="2:2" x14ac:dyDescent="0.2">
      <c r="B2" t="s">
        <v>386</v>
      </c>
    </row>
    <row r="3" spans="2:2" x14ac:dyDescent="0.2">
      <c r="B3" t="s">
        <v>396</v>
      </c>
    </row>
    <row r="4" spans="2:2" x14ac:dyDescent="0.2">
      <c r="B4" t="s">
        <v>394</v>
      </c>
    </row>
    <row r="5" spans="2:2" x14ac:dyDescent="0.2">
      <c r="B5" t="s">
        <v>368</v>
      </c>
    </row>
    <row r="6" spans="2:2" x14ac:dyDescent="0.2">
      <c r="B6" t="s">
        <v>369</v>
      </c>
    </row>
    <row r="7" spans="2:2" x14ac:dyDescent="0.2">
      <c r="B7" t="s">
        <v>350</v>
      </c>
    </row>
    <row r="8" spans="2:2" x14ac:dyDescent="0.2">
      <c r="B8" t="s">
        <v>352</v>
      </c>
    </row>
    <row r="9" spans="2:2" x14ac:dyDescent="0.2">
      <c r="B9" t="s">
        <v>398</v>
      </c>
    </row>
    <row r="10" spans="2:2" x14ac:dyDescent="0.2">
      <c r="B10" t="s">
        <v>399</v>
      </c>
    </row>
    <row r="11" spans="2:2" x14ac:dyDescent="0.2">
      <c r="B11" t="s">
        <v>353</v>
      </c>
    </row>
    <row r="12" spans="2:2" x14ac:dyDescent="0.2">
      <c r="B12" t="s">
        <v>355</v>
      </c>
    </row>
    <row r="13" spans="2:2" x14ac:dyDescent="0.2">
      <c r="B13" t="s">
        <v>354</v>
      </c>
    </row>
    <row r="14" spans="2:2" x14ac:dyDescent="0.2">
      <c r="B14" t="s">
        <v>387</v>
      </c>
    </row>
    <row r="15" spans="2:2" x14ac:dyDescent="0.2">
      <c r="B15" t="s">
        <v>356</v>
      </c>
    </row>
    <row r="16" spans="2:2" x14ac:dyDescent="0.2">
      <c r="B16" t="s">
        <v>397</v>
      </c>
    </row>
    <row r="17" spans="2:2" x14ac:dyDescent="0.2">
      <c r="B17" t="s">
        <v>388</v>
      </c>
    </row>
    <row r="18" spans="2:2" x14ac:dyDescent="0.2">
      <c r="B18" t="s">
        <v>400</v>
      </c>
    </row>
    <row r="19" spans="2:2" x14ac:dyDescent="0.2">
      <c r="B19" t="s">
        <v>389</v>
      </c>
    </row>
    <row r="20" spans="2:2" x14ac:dyDescent="0.2">
      <c r="B20" t="s">
        <v>333</v>
      </c>
    </row>
    <row r="21" spans="2:2" x14ac:dyDescent="0.2">
      <c r="B21" t="s">
        <v>390</v>
      </c>
    </row>
    <row r="22" spans="2:2" x14ac:dyDescent="0.2">
      <c r="B22" t="s">
        <v>393</v>
      </c>
    </row>
    <row r="23" spans="2:2" x14ac:dyDescent="0.2">
      <c r="B23" t="s">
        <v>391</v>
      </c>
    </row>
    <row r="24" spans="2:2" x14ac:dyDescent="0.2">
      <c r="B24" t="s">
        <v>392</v>
      </c>
    </row>
    <row r="25" spans="2:2" x14ac:dyDescent="0.2">
      <c r="B25" t="s">
        <v>385</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2023-09-09T21:35:03Z</dcterms:modified>
</cp:coreProperties>
</file>