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C1D3792E-CE05-4C86-B4A8-78745AA1A91F}" xr6:coauthVersionLast="47" xr6:coauthVersionMax="47" xr10:uidLastSave="{00000000-0000-0000-0000-000000000000}"/>
  <bookViews>
    <workbookView xWindow="-120" yWindow="-120" windowWidth="38640" windowHeight="15720"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Deals!$D$105</definedName>
    <definedName name="CISOEndDate">Deals!$D$106</definedName>
    <definedName name="cRows">COUNTA(#REF!)</definedName>
    <definedName name="CurrDate">[1]Top!#REF!</definedName>
    <definedName name="DataAll">Deals!$A$2:$AF$243</definedName>
    <definedName name="DelPoint">Deals!$C$2:EndofDPoint</definedName>
    <definedName name="Dformulas">Deals!$AD$3</definedName>
    <definedName name="DFormulaTitles">Deals!$AD$2:$AF$2</definedName>
    <definedName name="DPrice">Deals!$D$2:$D$76</definedName>
    <definedName name="DType">Deals!$B$2:EndofDType</definedName>
    <definedName name="EndDt" localSheetId="9">Top!$E$5</definedName>
    <definedName name="EndofDPoint">Deals!$C$104</definedName>
    <definedName name="EndofDType">Deals!$B$104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8" i="6"/>
  <c r="AE98" i="6"/>
  <c r="AF98" i="6"/>
  <c r="AD99" i="6"/>
  <c r="AE99" i="6"/>
  <c r="AF99" i="6"/>
  <c r="AD100" i="6"/>
  <c r="AE100" i="6"/>
  <c r="AF100" i="6"/>
  <c r="AD101" i="6"/>
  <c r="AE101" i="6"/>
  <c r="AF101" i="6"/>
  <c r="AD102" i="6"/>
  <c r="AE102" i="6"/>
  <c r="AF102" i="6"/>
  <c r="F109" i="6"/>
  <c r="G109" i="6"/>
  <c r="F110" i="6"/>
  <c r="G110" i="6"/>
  <c r="AD110" i="6"/>
  <c r="AE110" i="6"/>
  <c r="F111" i="6"/>
  <c r="G111" i="6"/>
  <c r="AD111" i="6"/>
  <c r="AE111" i="6"/>
  <c r="F112" i="6"/>
  <c r="G112" i="6"/>
  <c r="F113" i="6"/>
  <c r="G113" i="6"/>
  <c r="F114" i="6"/>
  <c r="G114" i="6"/>
  <c r="F115" i="6"/>
  <c r="G115" i="6"/>
  <c r="AD115" i="6"/>
  <c r="AE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s>
  <commentList>
    <comment ref="J14" authorId="0" shapeId="0">
      <text>
        <r>
          <rPr>
            <b/>
            <sz val="8"/>
            <color indexed="81"/>
            <rFont val="Tahoma"/>
          </rPr>
          <t>s_mcrouch:</t>
        </r>
        <r>
          <rPr>
            <sz val="8"/>
            <color indexed="81"/>
            <rFont val="Tahoma"/>
          </rPr>
          <t xml:space="preserve">
CUT SCHEDULE TO 2MW.
48MW WAS REDIRECTED TO PNM.
GENERATION COMFIRMATION.</t>
        </r>
      </text>
    </comment>
    <comment ref="K14" authorId="0" shapeId="0">
      <text>
        <r>
          <rPr>
            <b/>
            <sz val="8"/>
            <color indexed="81"/>
            <rFont val="Tahoma"/>
          </rPr>
          <t xml:space="preserve">s_mcrouch:
</t>
        </r>
        <r>
          <rPr>
            <sz val="8"/>
            <color indexed="81"/>
            <rFont val="Tahoma"/>
            <family val="2"/>
          </rPr>
          <t>REDIRECTED TO PNM</t>
        </r>
      </text>
    </comment>
    <comment ref="L14" authorId="0" shapeId="0">
      <text>
        <r>
          <rPr>
            <b/>
            <sz val="8"/>
            <color indexed="81"/>
            <rFont val="Tahoma"/>
          </rPr>
          <t xml:space="preserve">s_mcrouch:
</t>
        </r>
        <r>
          <rPr>
            <sz val="8"/>
            <color indexed="81"/>
            <rFont val="Tahoma"/>
            <family val="2"/>
          </rPr>
          <t>REDIRECTED TO PNM</t>
        </r>
      </text>
    </comment>
    <comment ref="AC14" authorId="0" shapeId="0">
      <text>
        <r>
          <rPr>
            <b/>
            <sz val="8"/>
            <color indexed="81"/>
            <rFont val="Tahoma"/>
          </rPr>
          <t xml:space="preserve">s_mcrouch:
</t>
        </r>
        <r>
          <rPr>
            <sz val="8"/>
            <color indexed="81"/>
            <rFont val="Tahoma"/>
            <family val="2"/>
          </rPr>
          <t>REDIRECTED TO PNM</t>
        </r>
      </text>
    </comment>
    <comment ref="C20"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<sst xmlns="http://schemas.openxmlformats.org/spreadsheetml/2006/main" count="776" uniqueCount="389">
  <si>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</si>
  <si>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</si>
  <si>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</si>
  <si>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</si>
  <si>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</si>
  <si>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</si>
  <si>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</si>
  <si>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</si>
  <si>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</si>
  <si>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</si>
  <si>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</si>
  <si>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</si>
  <si>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</si>
  <si>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</si>
  <si>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</si>
  <si>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</si>
  <si>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</si>
  <si>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</si>
  <si>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</si>
  <si>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</si>
  <si>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</si>
  <si>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</si>
  <si>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</si>
  <si>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</si>
  <si>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</si>
  <si>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</si>
  <si>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</si>
  <si>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</si>
  <si>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</si>
  <si>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</si>
  <si>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</si>
  <si>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</si>
  <si>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</si>
  <si>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</si>
  <si>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</si>
  <si>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</si>
  <si>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</si>
  <si>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</si>
  <si>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</si>
  <si>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</si>
  <si>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</si>
  <si>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</si>
  <si>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</si>
  <si>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</si>
  <si>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</si>
  <si>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</si>
  <si>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</si>
  <si>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</si>
  <si>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</si>
  <si>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</si>
  <si>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</si>
  <si>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</si>
  <si>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</si>
  <si>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</si>
  <si>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</si>
  <si>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</si>
  <si>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</si>
  <si>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</si>
  <si>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</si>
  <si>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</si>
  <si>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</si>
  <si>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</si>
  <si>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</si>
  <si>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</si>
  <si>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</si>
  <si>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</si>
  <si>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</si>
  <si>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</si>
  <si>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</si>
  <si>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</si>
  <si>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</si>
  <si>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</si>
  <si>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</si>
  <si>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</si>
  <si>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</si>
  <si>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</si>
  <si>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</si>
  <si>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</si>
  <si>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</si>
  <si>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</si>
  <si>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</si>
  <si>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</si>
  <si>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</si>
  <si>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</si>
  <si>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</si>
  <si>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</si>
  <si>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</si>
  <si>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</si>
  <si>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</si>
  <si>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</si>
  <si>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</si>
  <si>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</si>
  <si>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</si>
  <si>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</si>
  <si>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</si>
  <si>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</si>
  <si>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</si>
  <si>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</si>
  <si>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</si>
  <si>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</si>
  <si>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</si>
  <si>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</si>
  <si>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</si>
  <si>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</si>
  <si>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</si>
  <si>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</si>
  <si>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</si>
  <si>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</si>
  <si>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</si>
  <si>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</si>
  <si>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</si>
  <si>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</si>
  <si>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</si>
  <si>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</si>
  <si>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</si>
  <si>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</si>
  <si>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</si>
  <si>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</si>
  <si>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</si>
  <si>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</si>
  <si>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</si>
  <si>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</si>
  <si>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</si>
  <si>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</si>
  <si>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</si>
  <si>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</si>
  <si>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</si>
  <si>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</si>
  <si>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</si>
  <si>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</si>
  <si>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</si>
  <si>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</si>
  <si>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</si>
  <si>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</si>
  <si>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</si>
  <si>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</si>
  <si>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</si>
  <si>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</si>
  <si>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</si>
  <si>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</si>
  <si>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</si>
  <si>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</si>
  <si>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</si>
  <si>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</si>
  <si>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</si>
  <si>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</si>
  <si>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</si>
  <si>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</si>
  <si>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</si>
  <si>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</si>
  <si>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</si>
  <si>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</si>
  <si>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</si>
  <si>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</si>
  <si>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</si>
  <si>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</si>
  <si>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</si>
  <si>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</si>
  <si>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</si>
  <si>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</si>
  <si>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</si>
  <si>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</si>
  <si>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</si>
  <si>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</si>
  <si>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</si>
  <si>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</si>
  <si>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</si>
  <si>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</si>
  <si>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</si>
  <si>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</si>
  <si>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</si>
  <si>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</si>
  <si>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</si>
  <si>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</si>
  <si>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</si>
  <si>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</si>
  <si>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</si>
  <si>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</si>
  <si>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</si>
  <si>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</si>
  <si>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</si>
  <si>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</si>
  <si>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</si>
  <si>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</si>
  <si>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</si>
  <si>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</si>
  <si>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</si>
  <si>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</si>
  <si>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</si>
  <si>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</si>
  <si>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</si>
  <si>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</si>
  <si>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</si>
  <si>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</si>
  <si>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</si>
  <si>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</si>
  <si>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</si>
  <si>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</si>
  <si>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</si>
  <si>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</si>
  <si>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</si>
  <si>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</si>
  <si>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</si>
  <si>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</si>
  <si>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</si>
  <si>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</si>
  <si>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</si>
  <si>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</si>
  <si>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</si>
  <si>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</si>
  <si>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</si>
  <si>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</si>
  <si>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</si>
  <si>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</si>
  <si>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</si>
  <si>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</si>
  <si>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</si>
  <si>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</si>
  <si>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</si>
  <si>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</si>
  <si>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</si>
  <si>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</si>
  <si>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</si>
  <si>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</si>
  <si>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</si>
  <si>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</si>
  <si>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</si>
  <si>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</si>
  <si>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</si>
  <si>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</si>
  <si>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</si>
  <si>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</si>
  <si>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</si>
  <si>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</si>
  <si>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</si>
  <si>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</si>
  <si>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</si>
  <si>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</si>
  <si>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</si>
  <si>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</si>
  <si>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</si>
  <si>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</si>
  <si>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</si>
  <si>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</si>
  <si>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</si>
  <si>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</si>
  <si>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</si>
  <si>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</si>
  <si>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</si>
  <si>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</si>
  <si>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</si>
  <si>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</si>
  <si>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</si>
  <si>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</si>
  <si>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</si>
  <si>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</si>
  <si>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</si>
  <si>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</si>
  <si>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</si>
  <si>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</si>
  <si>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</si>
  <si>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</si>
  <si>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</si>
  <si>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</si>
  <si>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</si>
  <si>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</si>
  <si>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</si>
  <si>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</si>
  <si>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</si>
  <si>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</si>
  <si>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</si>
  <si>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</si>
  <si>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</si>
  <si>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</si>
  <si>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</si>
  <si>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</si>
  <si>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</si>
  <si>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</si>
  <si>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</si>
  <si>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</si>
  <si>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</si>
  <si>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</si>
  <si>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</si>
  <si>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</si>
  <si>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</si>
  <si>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</si>
  <si>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</si>
  <si>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</si>
  <si>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</si>
  <si>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</si>
  <si>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</si>
  <si>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</si>
  <si>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</si>
  <si>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</si>
  <si>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</si>
  <si>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</si>
  <si>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</si>
  <si>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</si>
  <si>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</si>
  <si>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</si>
  <si>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</si>
  <si>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</si>
  <si>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</si>
  <si>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</si>
  <si>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</si>
  <si>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</si>
  <si>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</si>
  <si>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</si>
  <si>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</si>
  <si>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</si>
  <si>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</si>
  <si>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</si>
  <si>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</si>
  <si>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</si>
  <si>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</si>
  <si>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</si>
  <si>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</si>
  <si>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</si>
  <si>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</si>
  <si>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</si>
  <si>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</si>
  <si>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</si>
  <si>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</si>
  <si>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</si>
  <si>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</si>
  <si>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</si>
  <si>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</si>
  <si>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</si>
  <si>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</si>
  <si>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</si>
  <si>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</si>
  <si>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</si>
  <si>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</si>
  <si>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</si>
  <si>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</si>
  <si>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</si>
  <si>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</si>
  <si>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</si>
  <si>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</si>
  <si>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</si>
  <si>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</si>
  <si>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</si>
  <si>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</si>
  <si>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</si>
  <si>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</si>
  <si>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</si>
  <si>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</si>
  <si>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</si>
  <si>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</si>
  <si>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</si>
  <si>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</si>
  <si>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</si>
  <si>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</si>
  <si>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</si>
  <si>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</si>
  <si>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</si>
  <si>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</si>
  <si>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</si>
  <si>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</si>
  <si>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</si>
  <si>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</si>
  <si>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</si>
  <si>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</si>
  <si>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</si>
  <si>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</si>
  <si>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NEWMN/GT1,UNAV,  0  , 60  , 18  , 60  ,  0  ,1</t>
  </si>
  <si>
    <t>ISO</t>
  </si>
  <si>
    <t>NEWMAN 4 ,UNAV,  0  ,215  , 86  ,214  ,  0  ,1</t>
  </si>
  <si>
    <t>NM/GT2+ST,UNAV,  0  ,100  , 66  ,107  ,  0  ,1</t>
  </si>
  <si>
    <t>NEWMN/GT2,UNAV,  0  , 60  , 18  , 60  ,  0  ,1</t>
  </si>
  <si>
    <t>NEWMAN 2 ,UNAV, -0  , 77  , 34  , 83  ,  0  ,1</t>
  </si>
  <si>
    <t>COPPER   ,AVAL, -0  , 69  , 15  , 69  ,  0  ,1</t>
  </si>
  <si>
    <t>LDWP</t>
  </si>
  <si>
    <t>IPC</t>
  </si>
  <si>
    <t>Econ</t>
  </si>
  <si>
    <t>x</t>
  </si>
  <si>
    <t>pre</t>
  </si>
  <si>
    <t>pv</t>
  </si>
  <si>
    <t>Firm</t>
  </si>
  <si>
    <t>ISO/PNM</t>
  </si>
  <si>
    <t>RIOGRAN 7,MANL, 28  , 38  , 32  , 49  ,  0  ,1</t>
  </si>
  <si>
    <t>NEWMAN 1 ,ECON, 41  , 75  , 39  , 83  , 34  ,1</t>
  </si>
  <si>
    <t>NEWMAN 3 ,ECON,100  ,100  , 35  ,103  ,  0  ,1</t>
  </si>
  <si>
    <t xml:space="preserve">NEWMAN   ,, 141 ,  175,   74, 186 ,  34 , </t>
  </si>
  <si>
    <t>RIOGRAN 8,MANL, 78  ,120  , 55  ,151  ,  0  ,1</t>
  </si>
  <si>
    <t xml:space="preserve">RIOGRANDE,, 107 ,  158,   87, 200 ,   0 , </t>
  </si>
  <si>
    <t>PALOVERDE,MANL,595  ,595  ,595  ,600  ,  0  ,1</t>
  </si>
  <si>
    <t>FOURCRNRS,MANL,  2  , 20  , 20  ,104  ,  0  ,1</t>
  </si>
  <si>
    <t>LAMBDA, 37.07,  632,  632,  165,    1,    0,13411,0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</si>
</sst>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2" fillId="13" borderId="91" xfId="0" applyFont="1" applyFill="1" applyBorder="1" applyAlignment="1"/>
    <xf numFmtId="0" fontId="51" fillId="13" borderId="91" xfId="0" applyFont="1" applyFill="1" applyBorder="1" applyAlignment="1">
      <alignment wrapText="1"/>
    </xf>
    <xf numFmtId="2" fontId="51" fillId="13" borderId="91" xfId="0" applyNumberFormat="1" applyFont="1" applyFill="1" applyBorder="1" applyAlignment="1">
      <alignment wrapText="1"/>
    </xf>
    <xf numFmtId="0" fontId="51" fillId="13" borderId="92" xfId="0" applyFont="1" applyFill="1" applyBorder="1" applyAlignment="1">
      <alignment wrapText="1"/>
    </xf>
    <xf numFmtId="0" fontId="51" fillId="13" borderId="92" xfId="0" applyFont="1" applyFill="1" applyBorder="1" applyAlignment="1" applyProtection="1">
      <alignment wrapText="1"/>
      <protection locked="0"/>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0" fontId="26" fillId="7" borderId="98" xfId="0" applyFont="1" applyFill="1" applyBorder="1" applyAlignment="1" applyProtection="1">
      <alignment vertical="top"/>
    </xf>
    <xf numFmtId="0" fontId="26" fillId="8" borderId="97" xfId="0" applyFont="1" applyFill="1" applyBorder="1" applyAlignment="1" applyProtection="1">
      <alignment vertical="top"/>
    </xf>
    <xf numFmtId="0" fontId="26" fillId="8" borderId="98" xfId="0" applyFont="1" applyFill="1" applyBorder="1" applyAlignment="1" applyProtection="1">
      <alignment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0"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1"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2"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3"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4" xfId="0"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7" xfId="0" applyFont="1" applyFill="1" applyBorder="1" applyProtection="1"/>
    <xf numFmtId="173" fontId="28" fillId="4" borderId="108" xfId="0" applyNumberFormat="1" applyFont="1" applyFill="1" applyBorder="1" applyAlignment="1" applyProtection="1">
      <alignment vertical="top"/>
    </xf>
    <xf numFmtId="173" fontId="28" fillId="4" borderId="109"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8"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11"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2"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5"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2" borderId="97"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18" borderId="117" xfId="0" applyFont="1" applyFill="1" applyBorder="1" applyAlignment="1" applyProtection="1">
      <alignment vertical="top"/>
    </xf>
    <xf numFmtId="0" fontId="26" fillId="18"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5" fillId="4" borderId="120"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21"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7" xfId="0" applyFont="1" applyFill="1" applyBorder="1" applyAlignment="1" applyProtection="1">
      <alignment vertical="top"/>
      <protection locked="0"/>
    </xf>
    <xf numFmtId="0" fontId="65" fillId="20" borderId="122"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3" xfId="0" applyNumberFormat="1" applyFont="1" applyFill="1" applyBorder="1" applyAlignment="1" applyProtection="1">
      <alignment horizontal="center" vertical="top"/>
      <protection locked="0"/>
    </xf>
    <xf numFmtId="173" fontId="19" fillId="20" borderId="12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5" xfId="0" applyFont="1" applyFill="1" applyBorder="1" applyAlignment="1">
      <alignment wrapText="1"/>
    </xf>
    <xf numFmtId="0" fontId="40" fillId="4" borderId="125"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8" xfId="0" applyFont="1" applyFill="1" applyBorder="1"/>
    <xf numFmtId="0" fontId="40" fillId="12" borderId="108"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10" xfId="0" applyNumberFormat="1" applyFont="1" applyFill="1" applyBorder="1" applyAlignment="1" applyProtection="1">
      <alignment horizontal="center"/>
      <protection locked="0"/>
    </xf>
    <xf numFmtId="166" fontId="63" fillId="4" borderId="110"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6"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101"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31" fillId="12" borderId="45" xfId="0" applyFont="1" applyFill="1" applyBorder="1" applyAlignment="1">
      <alignment wrapText="1"/>
    </xf>
    <xf numFmtId="0" fontId="4" fillId="14" borderId="58"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22" fillId="12" borderId="58"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4" fillId="12" borderId="3"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2FD6C155-920C-93A3-794E-F43FDED6F3D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8A6D8A0A-CB3D-7D35-DF49-1E62756DBD5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104</xdr:row>
          <xdr:rowOff>171450</xdr:rowOff>
        </xdr:from>
        <xdr:to>
          <xdr:col>12</xdr:col>
          <xdr:colOff>95250</xdr:colOff>
          <xdr:row>105</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830284E0-7B33-5E3A-DFB0-F893D48203E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106</xdr:row>
      <xdr:rowOff>66675</xdr:rowOff>
    </xdr:from>
    <xdr:to>
      <xdr:col>23</xdr:col>
      <xdr:colOff>114300</xdr:colOff>
      <xdr:row>121</xdr:row>
      <xdr:rowOff>19050</xdr:rowOff>
    </xdr:to>
    <xdr:sp macro="" textlink="">
      <xdr:nvSpPr>
        <xdr:cNvPr id="2303" name="Text Box 255">
          <a:extLst>
            <a:ext uri="{FF2B5EF4-FFF2-40B4-BE49-F238E27FC236}">
              <a16:creationId xmlns:a16="http://schemas.microsoft.com/office/drawing/2014/main" id="{1E85FEB9-2216-62DA-74E5-3C0C6A0459C4}"/>
            </a:ext>
          </a:extLst>
        </xdr:cNvPr>
        <xdr:cNvSpPr txBox="1">
          <a:spLocks noChangeArrowheads="1"/>
        </xdr:cNvSpPr>
      </xdr:nvSpPr>
      <xdr:spPr bwMode="auto">
        <a:xfrm>
          <a:off x="5295900" y="9572625"/>
          <a:ext cx="70389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B0967566-F439-C781-36AB-A65DF1A98BA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95D86907-B422-7DDE-BFBF-63BE1CE62DB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5C62B30C-004D-8E45-5F46-416B8FC633B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C1EB22C6-14B7-02E7-F391-56AC43F4812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5"/>
  <sheetViews>
    <sheetView showGridLines="0" tabSelected="1" topLeftCell="B15" zoomScale="60" zoomScaleNormal="65" workbookViewId="0">
      <selection activeCell="B94" sqref="B94"/>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9"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6.1406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7" t="s">
        <v>60</v>
      </c>
      <c r="B2" s="648" t="s">
        <v>59</v>
      </c>
      <c r="C2" s="648" t="s">
        <v>58</v>
      </c>
      <c r="D2" s="648" t="s">
        <v>9</v>
      </c>
      <c r="E2" s="648"/>
      <c r="F2" s="649">
        <v>1</v>
      </c>
      <c r="G2" s="649">
        <v>2</v>
      </c>
      <c r="H2" s="649">
        <v>3</v>
      </c>
      <c r="I2" s="649">
        <v>4</v>
      </c>
      <c r="J2" s="649">
        <v>5</v>
      </c>
      <c r="K2" s="649">
        <v>6</v>
      </c>
      <c r="L2" s="649">
        <v>7</v>
      </c>
      <c r="M2" s="649">
        <v>8</v>
      </c>
      <c r="N2" s="649">
        <v>9</v>
      </c>
      <c r="O2" s="649">
        <v>10</v>
      </c>
      <c r="P2" s="649">
        <v>11</v>
      </c>
      <c r="Q2" s="649">
        <v>12</v>
      </c>
      <c r="R2" s="649">
        <v>13</v>
      </c>
      <c r="S2" s="649">
        <v>14</v>
      </c>
      <c r="T2" s="649">
        <v>15</v>
      </c>
      <c r="U2" s="649">
        <v>16</v>
      </c>
      <c r="V2" s="649">
        <v>17</v>
      </c>
      <c r="W2" s="649">
        <v>18</v>
      </c>
      <c r="X2" s="649">
        <v>19</v>
      </c>
      <c r="Y2" s="649">
        <v>20</v>
      </c>
      <c r="Z2" s="649">
        <v>21</v>
      </c>
      <c r="AA2" s="649">
        <v>22</v>
      </c>
      <c r="AB2" s="649">
        <v>23</v>
      </c>
      <c r="AC2" s="650">
        <v>24</v>
      </c>
      <c r="AD2" s="648" t="s">
        <v>21</v>
      </c>
      <c r="AE2" s="651" t="s">
        <v>204</v>
      </c>
      <c r="AF2" s="652" t="s">
        <v>10</v>
      </c>
    </row>
    <row r="3" spans="1:75" s="356" customFormat="1" ht="12.75" customHeight="1" x14ac:dyDescent="0.2">
      <c r="A3" s="653" t="s">
        <v>62</v>
      </c>
      <c r="B3" s="659" t="s">
        <v>61</v>
      </c>
      <c r="C3" s="660" t="s">
        <v>151</v>
      </c>
      <c r="D3" s="660"/>
      <c r="E3" s="656"/>
      <c r="F3" s="711">
        <v>90</v>
      </c>
      <c r="G3" s="711">
        <v>70</v>
      </c>
      <c r="H3" s="711">
        <v>70</v>
      </c>
      <c r="I3" s="711">
        <v>70</v>
      </c>
      <c r="J3" s="711">
        <v>70</v>
      </c>
      <c r="K3" s="711">
        <v>70</v>
      </c>
      <c r="L3" s="711">
        <v>70</v>
      </c>
      <c r="M3" s="711">
        <v>70</v>
      </c>
      <c r="N3" s="711">
        <v>80</v>
      </c>
      <c r="O3" s="711">
        <v>100</v>
      </c>
      <c r="P3" s="711">
        <v>125</v>
      </c>
      <c r="Q3" s="711">
        <v>148</v>
      </c>
      <c r="R3" s="711">
        <v>148</v>
      </c>
      <c r="S3" s="711">
        <v>148</v>
      </c>
      <c r="T3" s="711">
        <v>148</v>
      </c>
      <c r="U3" s="711">
        <v>125</v>
      </c>
      <c r="V3" s="711">
        <v>125</v>
      </c>
      <c r="W3" s="711">
        <v>125</v>
      </c>
      <c r="X3" s="711">
        <v>125</v>
      </c>
      <c r="Y3" s="711">
        <v>125</v>
      </c>
      <c r="Z3" s="711">
        <v>110</v>
      </c>
      <c r="AA3" s="711">
        <v>100</v>
      </c>
      <c r="AB3" s="711">
        <v>100</v>
      </c>
      <c r="AC3" s="711">
        <v>100</v>
      </c>
      <c r="AD3" s="645">
        <f>SUM(F3:AC3)</f>
        <v>2512</v>
      </c>
      <c r="AE3" s="646">
        <f>AD3*D3</f>
        <v>0</v>
      </c>
      <c r="AF3" s="644"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54" t="s">
        <v>64</v>
      </c>
      <c r="B4" s="661" t="s">
        <v>61</v>
      </c>
      <c r="C4" s="662"/>
      <c r="D4" s="662"/>
      <c r="E4" s="657"/>
      <c r="F4" s="641">
        <v>20</v>
      </c>
      <c r="G4" s="641">
        <v>10</v>
      </c>
      <c r="H4" s="641">
        <v>10</v>
      </c>
      <c r="I4" s="641">
        <v>10</v>
      </c>
      <c r="J4" s="641">
        <v>10</v>
      </c>
      <c r="K4" s="641">
        <v>20</v>
      </c>
      <c r="L4" s="641">
        <v>20</v>
      </c>
      <c r="M4" s="641">
        <v>25</v>
      </c>
      <c r="N4" s="641">
        <v>25</v>
      </c>
      <c r="O4" s="641">
        <v>25</v>
      </c>
      <c r="P4" s="641">
        <v>25</v>
      </c>
      <c r="Q4" s="641">
        <v>25</v>
      </c>
      <c r="R4" s="641">
        <v>25</v>
      </c>
      <c r="S4" s="641">
        <v>25</v>
      </c>
      <c r="T4" s="641">
        <v>25</v>
      </c>
      <c r="U4" s="641">
        <v>25</v>
      </c>
      <c r="V4" s="641">
        <v>25</v>
      </c>
      <c r="W4" s="641">
        <v>25</v>
      </c>
      <c r="X4" s="641">
        <v>25</v>
      </c>
      <c r="Y4" s="641">
        <v>25</v>
      </c>
      <c r="Z4" s="641">
        <v>25</v>
      </c>
      <c r="AA4" s="641">
        <v>25</v>
      </c>
      <c r="AB4" s="641">
        <v>25</v>
      </c>
      <c r="AC4" s="641">
        <v>15</v>
      </c>
      <c r="AD4" s="598">
        <f>SUM(F4:AC4)</f>
        <v>515</v>
      </c>
      <c r="AE4" s="599">
        <f>AD4*D4</f>
        <v>0</v>
      </c>
      <c r="AF4" s="539" t="str">
        <f>IF(AD4&lt;0,"buy","sell")</f>
        <v>sell</v>
      </c>
    </row>
    <row r="5" spans="1:75" s="356" customFormat="1" x14ac:dyDescent="0.2">
      <c r="A5" s="655" t="s">
        <v>63</v>
      </c>
      <c r="B5" s="663"/>
      <c r="C5" s="663"/>
      <c r="D5" s="663"/>
      <c r="E5" s="658"/>
      <c r="F5" s="641">
        <v>0</v>
      </c>
      <c r="G5" s="641">
        <v>0</v>
      </c>
      <c r="H5" s="641">
        <v>0</v>
      </c>
      <c r="I5" s="641">
        <v>0</v>
      </c>
      <c r="J5" s="641">
        <v>0</v>
      </c>
      <c r="K5" s="641">
        <v>0</v>
      </c>
      <c r="L5" s="641">
        <v>0</v>
      </c>
      <c r="M5" s="641">
        <v>0</v>
      </c>
      <c r="N5" s="641">
        <v>0</v>
      </c>
      <c r="O5" s="641">
        <v>0</v>
      </c>
      <c r="P5" s="641">
        <v>0</v>
      </c>
      <c r="Q5" s="641">
        <v>0</v>
      </c>
      <c r="R5" s="641">
        <v>0</v>
      </c>
      <c r="S5" s="641">
        <v>0</v>
      </c>
      <c r="T5" s="641">
        <v>0</v>
      </c>
      <c r="U5" s="641">
        <v>0</v>
      </c>
      <c r="V5" s="641">
        <v>0</v>
      </c>
      <c r="W5" s="641">
        <v>0</v>
      </c>
      <c r="X5" s="641">
        <v>0</v>
      </c>
      <c r="Y5" s="641">
        <v>0</v>
      </c>
      <c r="Z5" s="641">
        <v>0</v>
      </c>
      <c r="AA5" s="641">
        <v>0</v>
      </c>
      <c r="AB5" s="641">
        <v>0</v>
      </c>
      <c r="AC5" s="641">
        <v>0</v>
      </c>
      <c r="AD5" s="598">
        <f>SUM(F5:AC5)</f>
        <v>0</v>
      </c>
      <c r="AE5" s="599">
        <f>AD5*D5</f>
        <v>0</v>
      </c>
      <c r="AF5" s="539" t="str">
        <f>IF(AD5&lt;0,"buy","sell")</f>
        <v>sell</v>
      </c>
    </row>
    <row r="6" spans="1:75" s="356" customFormat="1" x14ac:dyDescent="0.2">
      <c r="A6" s="655"/>
      <c r="B6" s="663"/>
      <c r="C6" s="663"/>
      <c r="D6" s="663"/>
      <c r="E6" s="658"/>
      <c r="F6" s="641"/>
      <c r="G6" s="641"/>
      <c r="H6" s="641"/>
      <c r="I6" s="641"/>
      <c r="J6" s="641"/>
      <c r="K6" s="641"/>
      <c r="L6" s="641"/>
      <c r="M6" s="641"/>
      <c r="N6" s="641"/>
      <c r="O6" s="641"/>
      <c r="P6" s="641"/>
      <c r="Q6" s="641"/>
      <c r="R6" s="641"/>
      <c r="S6" s="641"/>
      <c r="T6" s="641"/>
      <c r="U6" s="641"/>
      <c r="V6" s="641"/>
      <c r="W6" s="641"/>
      <c r="X6" s="641"/>
      <c r="Y6" s="641"/>
      <c r="Z6" s="641"/>
      <c r="AA6" s="641"/>
      <c r="AB6" s="641"/>
      <c r="AC6" s="641"/>
      <c r="AD6" s="598"/>
      <c r="AE6" s="599"/>
      <c r="AF6" s="539"/>
    </row>
    <row r="7" spans="1:75" s="404" customFormat="1" x14ac:dyDescent="0.2">
      <c r="A7" s="655" t="s">
        <v>3</v>
      </c>
      <c r="B7" s="663"/>
      <c r="C7" s="663" t="s">
        <v>364</v>
      </c>
      <c r="D7" s="663"/>
      <c r="E7" s="688"/>
      <c r="F7" s="641">
        <v>-103</v>
      </c>
      <c r="G7" s="641">
        <v>-103</v>
      </c>
      <c r="H7" s="641">
        <v>-103</v>
      </c>
      <c r="I7" s="641">
        <v>-103</v>
      </c>
      <c r="J7" s="641">
        <v>-103</v>
      </c>
      <c r="K7" s="641">
        <v>-103</v>
      </c>
      <c r="L7" s="713">
        <v>-103</v>
      </c>
      <c r="M7" s="641">
        <v>-103</v>
      </c>
      <c r="N7" s="641">
        <v>-103</v>
      </c>
      <c r="O7" s="641">
        <v>-103</v>
      </c>
      <c r="P7" s="641">
        <v>-103</v>
      </c>
      <c r="Q7" s="641">
        <v>-103</v>
      </c>
      <c r="R7" s="641">
        <v>-103</v>
      </c>
      <c r="S7" s="641">
        <v>-103</v>
      </c>
      <c r="T7" s="641">
        <v>-103</v>
      </c>
      <c r="U7" s="641">
        <v>-103</v>
      </c>
      <c r="V7" s="641">
        <v>-103</v>
      </c>
      <c r="W7" s="641">
        <v>-103</v>
      </c>
      <c r="X7" s="641">
        <v>-103</v>
      </c>
      <c r="Y7" s="641">
        <v>-103</v>
      </c>
      <c r="Z7" s="641">
        <v>-103</v>
      </c>
      <c r="AA7" s="641">
        <v>-103</v>
      </c>
      <c r="AB7" s="641">
        <v>-103</v>
      </c>
      <c r="AC7" s="641">
        <v>-103</v>
      </c>
      <c r="AD7" s="642"/>
      <c r="AE7" s="689"/>
      <c r="AF7" s="690"/>
    </row>
    <row r="8" spans="1:75" s="356" customFormat="1" x14ac:dyDescent="0.2">
      <c r="A8" s="655"/>
      <c r="B8" s="663"/>
      <c r="C8" s="663"/>
      <c r="D8" s="663"/>
      <c r="E8" s="658"/>
      <c r="F8" s="641"/>
      <c r="G8" s="641"/>
      <c r="H8" s="641"/>
      <c r="I8" s="641"/>
      <c r="J8" s="641"/>
      <c r="K8" s="641"/>
      <c r="L8" s="641"/>
      <c r="M8" s="641"/>
      <c r="N8" s="641"/>
      <c r="O8" s="641"/>
      <c r="P8" s="641"/>
      <c r="Q8" s="641"/>
      <c r="R8" s="641"/>
      <c r="S8" s="641"/>
      <c r="T8" s="641"/>
      <c r="U8" s="641"/>
      <c r="V8" s="641"/>
      <c r="W8" s="641"/>
      <c r="X8" s="641"/>
      <c r="Y8" s="641"/>
      <c r="Z8" s="641"/>
      <c r="AA8" s="641"/>
      <c r="AB8" s="641"/>
      <c r="AC8" s="641"/>
      <c r="AD8" s="598">
        <f>SUM(F8:AC8)</f>
        <v>0</v>
      </c>
      <c r="AE8" s="599"/>
      <c r="AF8" s="539"/>
    </row>
    <row r="9" spans="1:75" s="404" customFormat="1" x14ac:dyDescent="0.2">
      <c r="A9" s="655"/>
      <c r="B9" s="663"/>
      <c r="C9" s="663"/>
      <c r="D9" s="663"/>
      <c r="E9" s="688"/>
      <c r="F9" s="641"/>
      <c r="G9" s="641"/>
      <c r="H9" s="641"/>
      <c r="I9" s="641"/>
      <c r="J9" s="641"/>
      <c r="K9" s="641"/>
      <c r="L9" s="641"/>
      <c r="M9" s="641"/>
      <c r="N9" s="641"/>
      <c r="O9" s="641"/>
      <c r="P9" s="641"/>
      <c r="Q9" s="641"/>
      <c r="R9" s="641"/>
      <c r="S9" s="641"/>
      <c r="T9" s="641"/>
      <c r="U9" s="641"/>
      <c r="V9" s="641"/>
      <c r="W9" s="641"/>
      <c r="X9" s="641"/>
      <c r="Y9" s="641"/>
      <c r="Z9" s="641"/>
      <c r="AA9" s="641"/>
      <c r="AB9" s="641"/>
      <c r="AC9" s="641"/>
      <c r="AD9" s="598">
        <f>SUM(F9:AC9)</f>
        <v>0</v>
      </c>
      <c r="AE9" s="694"/>
      <c r="AF9" s="695"/>
    </row>
    <row r="10" spans="1:75" s="404" customFormat="1" x14ac:dyDescent="0.2">
      <c r="A10" s="655" t="s">
        <v>366</v>
      </c>
      <c r="B10" s="663"/>
      <c r="C10" s="663" t="s">
        <v>151</v>
      </c>
      <c r="D10" s="663"/>
      <c r="E10" s="688"/>
      <c r="F10" s="641"/>
      <c r="G10" s="641"/>
      <c r="H10" s="641"/>
      <c r="I10" s="641"/>
      <c r="J10" s="641"/>
      <c r="K10" s="641"/>
      <c r="L10" s="641"/>
      <c r="M10" s="641"/>
      <c r="N10" s="641"/>
      <c r="O10" s="641"/>
      <c r="P10" s="641"/>
      <c r="Q10" s="641"/>
      <c r="R10" s="641"/>
      <c r="S10" s="641"/>
      <c r="T10" s="641"/>
      <c r="U10" s="641"/>
      <c r="V10" s="641"/>
      <c r="W10" s="641"/>
      <c r="X10" s="641"/>
      <c r="Y10" s="641"/>
      <c r="Z10" s="641"/>
      <c r="AA10" s="641"/>
      <c r="AB10" s="641"/>
      <c r="AC10" s="641"/>
      <c r="AD10" s="598">
        <f>SUM(E10:AC10)</f>
        <v>0</v>
      </c>
      <c r="AE10" s="694">
        <f t="shared" ref="AE10:AE17" si="0">AD10*D10</f>
        <v>0</v>
      </c>
      <c r="AF10" s="695" t="str">
        <f t="shared" ref="AF10:AF17" si="1">IF(AD10&lt;0,"buy","sell")</f>
        <v>sell</v>
      </c>
    </row>
    <row r="11" spans="1:75" s="404" customFormat="1" x14ac:dyDescent="0.2">
      <c r="A11" s="655" t="s">
        <v>366</v>
      </c>
      <c r="B11" s="710"/>
      <c r="C11" s="663" t="s">
        <v>151</v>
      </c>
      <c r="D11" s="663"/>
      <c r="E11" s="688"/>
      <c r="F11" s="716">
        <v>50</v>
      </c>
      <c r="G11" s="641"/>
      <c r="H11" s="641"/>
      <c r="I11" s="641"/>
      <c r="J11" s="641"/>
      <c r="K11" s="641"/>
      <c r="L11" s="641"/>
      <c r="M11" s="641"/>
      <c r="N11" s="641"/>
      <c r="O11" s="641"/>
      <c r="P11" s="641"/>
      <c r="Q11" s="641"/>
      <c r="R11" s="641"/>
      <c r="S11" s="641"/>
      <c r="T11" s="641"/>
      <c r="U11" s="641"/>
      <c r="V11" s="641"/>
      <c r="W11" s="641"/>
      <c r="X11" s="641"/>
      <c r="Y11" s="641"/>
      <c r="Z11" s="641"/>
      <c r="AA11" s="641"/>
      <c r="AB11" s="641"/>
      <c r="AC11" s="641"/>
      <c r="AD11" s="598">
        <f t="shared" ref="AD11:AD18" si="2">SUM(E11:AC11)</f>
        <v>50</v>
      </c>
      <c r="AE11" s="694">
        <f t="shared" si="0"/>
        <v>0</v>
      </c>
      <c r="AF11" s="695" t="str">
        <f t="shared" si="1"/>
        <v>sell</v>
      </c>
    </row>
    <row r="12" spans="1:75" s="404" customFormat="1" x14ac:dyDescent="0.2">
      <c r="A12" s="655" t="s">
        <v>372</v>
      </c>
      <c r="B12" s="710"/>
      <c r="C12" s="663" t="s">
        <v>151</v>
      </c>
      <c r="D12" s="663"/>
      <c r="E12" s="688"/>
      <c r="F12" s="716">
        <v>3</v>
      </c>
      <c r="G12" s="641"/>
      <c r="H12" s="641"/>
      <c r="I12" s="641"/>
      <c r="J12" s="641"/>
      <c r="K12" s="641"/>
      <c r="L12" s="641"/>
      <c r="M12" s="641"/>
      <c r="N12" s="641"/>
      <c r="O12" s="641"/>
      <c r="P12" s="641"/>
      <c r="Q12" s="641"/>
      <c r="R12" s="641"/>
      <c r="S12" s="641"/>
      <c r="T12" s="641"/>
      <c r="U12" s="641"/>
      <c r="V12" s="641"/>
      <c r="W12" s="641"/>
      <c r="X12" s="641"/>
      <c r="Y12" s="641"/>
      <c r="Z12" s="641"/>
      <c r="AA12" s="641"/>
      <c r="AB12" s="641"/>
      <c r="AC12" s="641"/>
      <c r="AD12" s="598">
        <f t="shared" si="2"/>
        <v>3</v>
      </c>
      <c r="AE12" s="694">
        <f t="shared" si="0"/>
        <v>0</v>
      </c>
      <c r="AF12" s="695" t="str">
        <f t="shared" si="1"/>
        <v>sell</v>
      </c>
    </row>
    <row r="13" spans="1:75" s="404" customFormat="1" x14ac:dyDescent="0.2">
      <c r="A13" s="655" t="s">
        <v>366</v>
      </c>
      <c r="B13" s="710"/>
      <c r="C13" s="663" t="s">
        <v>151</v>
      </c>
      <c r="D13" s="663"/>
      <c r="E13" s="688"/>
      <c r="F13" s="716">
        <v>50</v>
      </c>
      <c r="G13" s="641"/>
      <c r="H13" s="641"/>
      <c r="I13" s="641"/>
      <c r="J13" s="641"/>
      <c r="K13" s="641"/>
      <c r="L13" s="641"/>
      <c r="M13" s="641"/>
      <c r="N13" s="641"/>
      <c r="O13" s="641"/>
      <c r="P13" s="641"/>
      <c r="Q13" s="641"/>
      <c r="R13" s="641"/>
      <c r="S13" s="641"/>
      <c r="T13" s="641"/>
      <c r="U13" s="641"/>
      <c r="V13" s="641"/>
      <c r="W13" s="641"/>
      <c r="X13" s="641"/>
      <c r="Y13" s="641"/>
      <c r="Z13" s="641"/>
      <c r="AA13" s="641"/>
      <c r="AB13" s="641"/>
      <c r="AC13" s="641"/>
      <c r="AD13" s="598">
        <f>SUM(E13:AC13)</f>
        <v>50</v>
      </c>
      <c r="AE13" s="694">
        <f t="shared" si="0"/>
        <v>0</v>
      </c>
      <c r="AF13" s="695" t="str">
        <f t="shared" si="1"/>
        <v>sell</v>
      </c>
    </row>
    <row r="14" spans="1:75" s="404" customFormat="1" x14ac:dyDescent="0.2">
      <c r="A14" s="655" t="s">
        <v>379</v>
      </c>
      <c r="B14" s="710"/>
      <c r="C14" s="663" t="s">
        <v>151</v>
      </c>
      <c r="D14" s="663"/>
      <c r="E14" s="688"/>
      <c r="F14" s="641"/>
      <c r="G14" s="716">
        <v>50</v>
      </c>
      <c r="H14" s="716">
        <v>50</v>
      </c>
      <c r="I14" s="716">
        <v>50</v>
      </c>
      <c r="J14" s="716">
        <v>50</v>
      </c>
      <c r="K14" s="716">
        <v>50</v>
      </c>
      <c r="L14" s="716">
        <v>50</v>
      </c>
      <c r="M14" s="641"/>
      <c r="N14" s="641"/>
      <c r="O14" s="641"/>
      <c r="P14" s="641"/>
      <c r="Q14" s="641"/>
      <c r="R14" s="641"/>
      <c r="S14" s="641"/>
      <c r="T14" s="641"/>
      <c r="U14" s="641"/>
      <c r="V14" s="641"/>
      <c r="W14" s="641"/>
      <c r="X14" s="641"/>
      <c r="Y14" s="641"/>
      <c r="Z14" s="641"/>
      <c r="AA14" s="641"/>
      <c r="AB14" s="641"/>
      <c r="AC14" s="716">
        <v>50</v>
      </c>
      <c r="AD14" s="598">
        <f>SUM(E14:AC14)</f>
        <v>350</v>
      </c>
      <c r="AE14" s="694">
        <f t="shared" si="0"/>
        <v>0</v>
      </c>
      <c r="AF14" s="695" t="str">
        <f t="shared" si="1"/>
        <v>sell</v>
      </c>
    </row>
    <row r="15" spans="1:75" s="404" customFormat="1" x14ac:dyDescent="0.2">
      <c r="A15" s="655" t="s">
        <v>372</v>
      </c>
      <c r="B15" s="710"/>
      <c r="C15" s="663" t="s">
        <v>151</v>
      </c>
      <c r="D15" s="663"/>
      <c r="E15" s="688"/>
      <c r="F15" s="641"/>
      <c r="G15" s="716">
        <v>3</v>
      </c>
      <c r="H15" s="716">
        <v>3</v>
      </c>
      <c r="I15" s="716">
        <v>3</v>
      </c>
      <c r="J15" s="716">
        <v>3</v>
      </c>
      <c r="K15" s="716">
        <v>3</v>
      </c>
      <c r="L15" s="716">
        <v>3</v>
      </c>
      <c r="M15" s="641"/>
      <c r="N15" s="641"/>
      <c r="O15" s="641"/>
      <c r="P15" s="641"/>
      <c r="Q15" s="641"/>
      <c r="R15" s="641"/>
      <c r="S15" s="641"/>
      <c r="T15" s="641"/>
      <c r="U15" s="641"/>
      <c r="V15" s="641"/>
      <c r="W15" s="641"/>
      <c r="X15" s="641"/>
      <c r="Y15" s="641"/>
      <c r="Z15" s="641"/>
      <c r="AA15" s="641"/>
      <c r="AB15" s="641"/>
      <c r="AC15" s="716">
        <v>3</v>
      </c>
      <c r="AD15" s="598">
        <f t="shared" si="2"/>
        <v>21</v>
      </c>
      <c r="AE15" s="694">
        <f t="shared" si="0"/>
        <v>0</v>
      </c>
      <c r="AF15" s="695" t="str">
        <f t="shared" si="1"/>
        <v>sell</v>
      </c>
    </row>
    <row r="16" spans="1:75" s="404" customFormat="1" x14ac:dyDescent="0.2">
      <c r="A16" s="655" t="s">
        <v>366</v>
      </c>
      <c r="B16" s="719"/>
      <c r="C16" s="663" t="s">
        <v>151</v>
      </c>
      <c r="D16" s="663"/>
      <c r="E16" s="688"/>
      <c r="F16" s="641"/>
      <c r="G16" s="716"/>
      <c r="H16" s="716"/>
      <c r="I16" s="716"/>
      <c r="J16" s="716"/>
      <c r="K16" s="716"/>
      <c r="L16" s="716"/>
      <c r="M16" s="641"/>
      <c r="N16" s="641"/>
      <c r="O16" s="641"/>
      <c r="P16" s="641"/>
      <c r="Q16" s="641"/>
      <c r="R16" s="641"/>
      <c r="S16" s="641"/>
      <c r="T16" s="641"/>
      <c r="U16" s="641"/>
      <c r="V16" s="641"/>
      <c r="W16" s="641"/>
      <c r="X16" s="641"/>
      <c r="Y16" s="641"/>
      <c r="Z16" s="641"/>
      <c r="AA16" s="641"/>
      <c r="AB16" s="641"/>
      <c r="AC16" s="716">
        <v>24</v>
      </c>
      <c r="AD16" s="598">
        <f>SUM(E16:AC16)</f>
        <v>24</v>
      </c>
      <c r="AE16" s="694">
        <f t="shared" si="0"/>
        <v>0</v>
      </c>
      <c r="AF16" s="695" t="str">
        <f t="shared" si="1"/>
        <v>sell</v>
      </c>
    </row>
    <row r="17" spans="1:32" s="404" customFormat="1" x14ac:dyDescent="0.2">
      <c r="A17" s="655" t="s">
        <v>366</v>
      </c>
      <c r="B17" s="719"/>
      <c r="C17" s="663" t="s">
        <v>151</v>
      </c>
      <c r="D17" s="663"/>
      <c r="E17" s="688"/>
      <c r="F17" s="641"/>
      <c r="G17" s="716">
        <v>50</v>
      </c>
      <c r="H17" s="716">
        <v>50</v>
      </c>
      <c r="I17" s="716">
        <v>50</v>
      </c>
      <c r="J17" s="716">
        <v>50</v>
      </c>
      <c r="K17" s="716">
        <v>50</v>
      </c>
      <c r="L17" s="716">
        <v>50</v>
      </c>
      <c r="M17" s="641"/>
      <c r="N17" s="641"/>
      <c r="O17" s="641"/>
      <c r="P17" s="641"/>
      <c r="Q17" s="641"/>
      <c r="R17" s="641"/>
      <c r="S17" s="641"/>
      <c r="T17" s="641"/>
      <c r="U17" s="641"/>
      <c r="V17" s="641"/>
      <c r="W17" s="641"/>
      <c r="X17" s="641"/>
      <c r="Y17" s="641"/>
      <c r="Z17" s="641"/>
      <c r="AA17" s="641"/>
      <c r="AB17" s="641"/>
      <c r="AC17" s="716">
        <v>26</v>
      </c>
      <c r="AD17" s="598">
        <f>SUM(E17:AC17)</f>
        <v>326</v>
      </c>
      <c r="AE17" s="694">
        <f t="shared" si="0"/>
        <v>0</v>
      </c>
      <c r="AF17" s="695" t="str">
        <f t="shared" si="1"/>
        <v>sell</v>
      </c>
    </row>
    <row r="18" spans="1:32" s="356" customFormat="1" x14ac:dyDescent="0.2">
      <c r="A18" s="655"/>
      <c r="B18" s="663"/>
      <c r="C18" s="663"/>
      <c r="D18" s="663"/>
      <c r="E18" s="658"/>
      <c r="F18" s="641"/>
      <c r="G18" s="641"/>
      <c r="H18" s="641"/>
      <c r="I18" s="641"/>
      <c r="J18" s="641"/>
      <c r="K18" s="641"/>
      <c r="L18" s="641"/>
      <c r="M18" s="641"/>
      <c r="N18" s="641"/>
      <c r="O18" s="641"/>
      <c r="P18" s="641"/>
      <c r="Q18" s="641"/>
      <c r="R18" s="641"/>
      <c r="S18" s="641"/>
      <c r="T18" s="641"/>
      <c r="U18" s="641"/>
      <c r="V18" s="641"/>
      <c r="W18" s="641"/>
      <c r="X18" s="641"/>
      <c r="Y18" s="641"/>
      <c r="Z18" s="641"/>
      <c r="AA18" s="641"/>
      <c r="AB18" s="641"/>
      <c r="AC18" s="641"/>
      <c r="AD18" s="598">
        <f t="shared" si="2"/>
        <v>0</v>
      </c>
      <c r="AE18" s="694"/>
      <c r="AF18" s="695"/>
    </row>
    <row r="19" spans="1:32" s="356" customFormat="1" x14ac:dyDescent="0.2">
      <c r="A19" s="664" t="s">
        <v>205</v>
      </c>
      <c r="B19" s="691"/>
      <c r="C19" s="691"/>
      <c r="D19" s="692"/>
      <c r="E19" s="665"/>
      <c r="F19" s="667"/>
      <c r="G19" s="667"/>
      <c r="H19" s="667"/>
      <c r="I19" s="667"/>
      <c r="J19" s="667"/>
      <c r="K19" s="667"/>
      <c r="L19" s="667"/>
      <c r="M19" s="667"/>
      <c r="N19" s="667"/>
      <c r="O19" s="667"/>
      <c r="P19" s="667"/>
      <c r="Q19" s="667"/>
      <c r="R19" s="667"/>
      <c r="S19" s="667"/>
      <c r="T19" s="667"/>
      <c r="U19" s="667"/>
      <c r="V19" s="667"/>
      <c r="W19" s="667"/>
      <c r="X19" s="667"/>
      <c r="Y19" s="667"/>
      <c r="Z19" s="667"/>
      <c r="AA19" s="667"/>
      <c r="AB19" s="667"/>
      <c r="AC19" s="667"/>
      <c r="AD19" s="643"/>
      <c r="AE19" s="696"/>
      <c r="AF19" s="697"/>
    </row>
    <row r="20" spans="1:32" s="356" customFormat="1" x14ac:dyDescent="0.2">
      <c r="A20" s="616" t="s">
        <v>206</v>
      </c>
      <c r="B20" s="693"/>
      <c r="C20" s="613"/>
      <c r="D20" s="693"/>
      <c r="E20" s="363"/>
      <c r="F20" s="668"/>
      <c r="G20" s="668"/>
      <c r="H20" s="668"/>
      <c r="I20" s="668"/>
      <c r="J20" s="668"/>
      <c r="K20" s="668"/>
      <c r="L20" s="668"/>
      <c r="M20" s="668"/>
      <c r="N20" s="668"/>
      <c r="O20" s="668"/>
      <c r="P20" s="668"/>
      <c r="Q20" s="668"/>
      <c r="R20" s="668"/>
      <c r="S20" s="668"/>
      <c r="T20" s="668"/>
      <c r="U20" s="668"/>
      <c r="V20" s="668"/>
      <c r="W20" s="668"/>
      <c r="X20" s="668"/>
      <c r="Y20" s="668"/>
      <c r="Z20" s="668"/>
      <c r="AA20" s="668"/>
      <c r="AB20" s="668"/>
      <c r="AC20" s="668"/>
      <c r="AD20" s="693"/>
      <c r="AE20" s="698"/>
      <c r="AF20" s="698"/>
    </row>
    <row r="21" spans="1:32" s="356" customFormat="1" hidden="1" x14ac:dyDescent="0.2">
      <c r="A21" s="617" t="s">
        <v>277</v>
      </c>
      <c r="B21" s="478" t="s">
        <v>240</v>
      </c>
      <c r="C21" s="478" t="s">
        <v>151</v>
      </c>
      <c r="D21" s="479">
        <f>F109</f>
        <v>-0.25</v>
      </c>
      <c r="E21" s="479"/>
      <c r="F21" s="482">
        <v>0</v>
      </c>
      <c r="G21" s="669"/>
      <c r="H21" s="482"/>
      <c r="I21" s="482"/>
      <c r="J21" s="482"/>
      <c r="K21" s="482"/>
      <c r="L21" s="482"/>
      <c r="M21" s="482"/>
      <c r="N21" s="482"/>
      <c r="O21" s="482"/>
      <c r="P21" s="482"/>
      <c r="Q21" s="482"/>
      <c r="R21" s="482"/>
      <c r="S21" s="482"/>
      <c r="T21" s="482"/>
      <c r="U21" s="482"/>
      <c r="V21" s="482"/>
      <c r="W21" s="482"/>
      <c r="X21" s="482"/>
      <c r="Y21" s="482"/>
      <c r="Z21" s="482"/>
      <c r="AA21" s="482"/>
      <c r="AB21" s="482"/>
      <c r="AC21" s="670"/>
      <c r="AD21" s="593">
        <f t="shared" ref="AD21:AD93" si="3">SUM(F21:AC21)</f>
        <v>0</v>
      </c>
      <c r="AE21" s="699">
        <f t="shared" ref="AE21:AE69" si="4">AD21*D21</f>
        <v>0</v>
      </c>
      <c r="AF21" s="700" t="str">
        <f>IF(AD21&lt;0,"buy","sell")</f>
        <v>sell</v>
      </c>
    </row>
    <row r="22" spans="1:32" s="356" customFormat="1" hidden="1" x14ac:dyDescent="0.2">
      <c r="A22" s="617" t="s">
        <v>277</v>
      </c>
      <c r="B22" s="478" t="s">
        <v>240</v>
      </c>
      <c r="C22" s="478" t="s">
        <v>151</v>
      </c>
      <c r="D22" s="479">
        <f>F110</f>
        <v>-0.25</v>
      </c>
      <c r="E22" s="479"/>
      <c r="F22" s="482"/>
      <c r="G22" s="482"/>
      <c r="H22" s="482"/>
      <c r="I22" s="482"/>
      <c r="J22" s="482"/>
      <c r="K22" s="482"/>
      <c r="L22" s="482"/>
      <c r="M22" s="482"/>
      <c r="N22" s="482"/>
      <c r="O22" s="482"/>
      <c r="P22" s="482"/>
      <c r="Q22" s="482"/>
      <c r="R22" s="482"/>
      <c r="S22" s="482"/>
      <c r="T22" s="482"/>
      <c r="U22" s="482"/>
      <c r="V22" s="482"/>
      <c r="W22" s="482"/>
      <c r="X22" s="482"/>
      <c r="Y22" s="482"/>
      <c r="Z22" s="482"/>
      <c r="AA22" s="482"/>
      <c r="AB22" s="670"/>
      <c r="AC22" s="670"/>
      <c r="AD22" s="593">
        <f t="shared" si="3"/>
        <v>0</v>
      </c>
      <c r="AE22" s="699">
        <f t="shared" si="4"/>
        <v>0</v>
      </c>
      <c r="AF22" s="700" t="str">
        <f t="shared" ref="AF22:AF44" si="5">IF(AD22&lt;0,"buy","sell")</f>
        <v>sell</v>
      </c>
    </row>
    <row r="23" spans="1:32" s="356" customFormat="1" hidden="1" x14ac:dyDescent="0.2">
      <c r="A23" s="617" t="s">
        <v>277</v>
      </c>
      <c r="B23" s="478" t="s">
        <v>240</v>
      </c>
      <c r="C23" s="478" t="s">
        <v>151</v>
      </c>
      <c r="D23" s="479">
        <f>F111</f>
        <v>-0.25</v>
      </c>
      <c r="E23" s="479"/>
      <c r="F23" s="482"/>
      <c r="G23" s="669"/>
      <c r="H23" s="482"/>
      <c r="I23" s="482"/>
      <c r="J23" s="482"/>
      <c r="K23" s="482"/>
      <c r="L23" s="482"/>
      <c r="M23" s="482"/>
      <c r="N23" s="482"/>
      <c r="O23" s="482"/>
      <c r="P23" s="482"/>
      <c r="Q23" s="482"/>
      <c r="R23" s="482"/>
      <c r="S23" s="482"/>
      <c r="T23" s="482"/>
      <c r="U23" s="482"/>
      <c r="V23" s="482"/>
      <c r="W23" s="482"/>
      <c r="X23" s="482"/>
      <c r="Y23" s="482"/>
      <c r="Z23" s="482"/>
      <c r="AA23" s="482"/>
      <c r="AB23" s="482"/>
      <c r="AC23" s="670"/>
      <c r="AD23" s="593">
        <f t="shared" si="3"/>
        <v>0</v>
      </c>
      <c r="AE23" s="699">
        <f t="shared" si="4"/>
        <v>0</v>
      </c>
      <c r="AF23" s="700" t="str">
        <f t="shared" si="5"/>
        <v>sell</v>
      </c>
    </row>
    <row r="24" spans="1:32" s="356" customFormat="1" hidden="1" x14ac:dyDescent="0.2">
      <c r="A24" s="617" t="s">
        <v>277</v>
      </c>
      <c r="B24" s="478" t="s">
        <v>240</v>
      </c>
      <c r="C24" s="478" t="s">
        <v>151</v>
      </c>
      <c r="D24" s="479">
        <f>F112</f>
        <v>-0.25</v>
      </c>
      <c r="E24" s="479"/>
      <c r="F24" s="482"/>
      <c r="G24" s="669"/>
      <c r="H24" s="482"/>
      <c r="I24" s="482"/>
      <c r="J24" s="482"/>
      <c r="K24" s="482"/>
      <c r="L24" s="482"/>
      <c r="M24" s="482"/>
      <c r="N24" s="482"/>
      <c r="O24" s="482"/>
      <c r="P24" s="482"/>
      <c r="Q24" s="482"/>
      <c r="R24" s="482"/>
      <c r="S24" s="482"/>
      <c r="T24" s="482"/>
      <c r="U24" s="482"/>
      <c r="V24" s="482"/>
      <c r="W24" s="482"/>
      <c r="X24" s="482"/>
      <c r="Y24" s="482"/>
      <c r="Z24" s="482"/>
      <c r="AA24" s="482"/>
      <c r="AB24" s="482"/>
      <c r="AC24" s="670"/>
      <c r="AD24" s="593">
        <f t="shared" si="3"/>
        <v>0</v>
      </c>
      <c r="AE24" s="699">
        <f t="shared" si="4"/>
        <v>0</v>
      </c>
      <c r="AF24" s="700" t="str">
        <f t="shared" si="5"/>
        <v>sell</v>
      </c>
    </row>
    <row r="25" spans="1:32" s="356" customFormat="1" hidden="1" x14ac:dyDescent="0.2">
      <c r="A25" s="617" t="s">
        <v>277</v>
      </c>
      <c r="B25" s="478" t="s">
        <v>240</v>
      </c>
      <c r="C25" s="478" t="s">
        <v>151</v>
      </c>
      <c r="D25" s="479">
        <f t="shared" ref="D25:D44" si="6">F113</f>
        <v>-0.25</v>
      </c>
      <c r="E25" s="479"/>
      <c r="F25" s="482"/>
      <c r="G25" s="669"/>
      <c r="H25" s="482"/>
      <c r="I25" s="482"/>
      <c r="J25" s="482"/>
      <c r="K25" s="482"/>
      <c r="L25" s="482"/>
      <c r="M25" s="482"/>
      <c r="N25" s="482"/>
      <c r="O25" s="482"/>
      <c r="P25" s="482"/>
      <c r="Q25" s="482"/>
      <c r="R25" s="482"/>
      <c r="S25" s="482"/>
      <c r="T25" s="482"/>
      <c r="U25" s="482"/>
      <c r="V25" s="482"/>
      <c r="W25" s="482"/>
      <c r="X25" s="482"/>
      <c r="Y25" s="482"/>
      <c r="Z25" s="482"/>
      <c r="AA25" s="482"/>
      <c r="AB25" s="482"/>
      <c r="AC25" s="670"/>
      <c r="AD25" s="593">
        <f t="shared" si="3"/>
        <v>0</v>
      </c>
      <c r="AE25" s="699">
        <f t="shared" si="4"/>
        <v>0</v>
      </c>
      <c r="AF25" s="700" t="str">
        <f>IF(AD25&lt;0,"buy","sell")</f>
        <v>sell</v>
      </c>
    </row>
    <row r="26" spans="1:32" s="356" customFormat="1" hidden="1" x14ac:dyDescent="0.2">
      <c r="A26" s="617" t="s">
        <v>277</v>
      </c>
      <c r="B26" s="478" t="s">
        <v>240</v>
      </c>
      <c r="C26" s="478" t="s">
        <v>151</v>
      </c>
      <c r="D26" s="479">
        <f t="shared" si="6"/>
        <v>-0.25</v>
      </c>
      <c r="E26" s="479"/>
      <c r="F26" s="482"/>
      <c r="G26" s="669"/>
      <c r="H26" s="482"/>
      <c r="I26" s="482"/>
      <c r="J26" s="482"/>
      <c r="K26" s="482"/>
      <c r="L26" s="482"/>
      <c r="M26" s="482"/>
      <c r="N26" s="482"/>
      <c r="O26" s="482"/>
      <c r="P26" s="482"/>
      <c r="Q26" s="482"/>
      <c r="R26" s="482"/>
      <c r="S26" s="482"/>
      <c r="T26" s="482"/>
      <c r="U26" s="482"/>
      <c r="V26" s="482"/>
      <c r="W26" s="482"/>
      <c r="X26" s="482"/>
      <c r="Y26" s="482"/>
      <c r="Z26" s="482"/>
      <c r="AA26" s="482"/>
      <c r="AB26" s="482"/>
      <c r="AC26" s="482"/>
      <c r="AD26" s="593">
        <f t="shared" si="3"/>
        <v>0</v>
      </c>
      <c r="AE26" s="699">
        <f t="shared" si="4"/>
        <v>0</v>
      </c>
      <c r="AF26" s="700" t="str">
        <f t="shared" si="5"/>
        <v>sell</v>
      </c>
    </row>
    <row r="27" spans="1:32" s="356" customFormat="1" hidden="1" x14ac:dyDescent="0.2">
      <c r="A27" s="617" t="s">
        <v>277</v>
      </c>
      <c r="B27" s="478" t="s">
        <v>240</v>
      </c>
      <c r="C27" s="478" t="s">
        <v>151</v>
      </c>
      <c r="D27" s="479">
        <f t="shared" si="6"/>
        <v>-0.25</v>
      </c>
      <c r="E27" s="479"/>
      <c r="F27" s="482"/>
      <c r="G27" s="669"/>
      <c r="H27" s="482"/>
      <c r="I27" s="482"/>
      <c r="J27" s="482"/>
      <c r="K27" s="482"/>
      <c r="L27" s="482"/>
      <c r="M27" s="482"/>
      <c r="N27" s="482"/>
      <c r="O27" s="482"/>
      <c r="P27" s="482"/>
      <c r="Q27" s="482"/>
      <c r="R27" s="482"/>
      <c r="S27" s="482"/>
      <c r="T27" s="482"/>
      <c r="U27" s="482"/>
      <c r="V27" s="482"/>
      <c r="W27" s="482"/>
      <c r="X27" s="482"/>
      <c r="Y27" s="482"/>
      <c r="Z27" s="482"/>
      <c r="AA27" s="482"/>
      <c r="AB27" s="482"/>
      <c r="AC27" s="482"/>
      <c r="AD27" s="593">
        <f t="shared" si="3"/>
        <v>0</v>
      </c>
      <c r="AE27" s="699">
        <f t="shared" si="4"/>
        <v>0</v>
      </c>
      <c r="AF27" s="700" t="str">
        <f t="shared" si="5"/>
        <v>sell</v>
      </c>
    </row>
    <row r="28" spans="1:32" s="356" customFormat="1" hidden="1" x14ac:dyDescent="0.2">
      <c r="A28" s="617" t="s">
        <v>277</v>
      </c>
      <c r="B28" s="478" t="s">
        <v>240</v>
      </c>
      <c r="C28" s="478" t="s">
        <v>151</v>
      </c>
      <c r="D28" s="479">
        <f t="shared" si="6"/>
        <v>-0.25</v>
      </c>
      <c r="E28" s="479"/>
      <c r="F28" s="482"/>
      <c r="G28" s="669"/>
      <c r="H28" s="482"/>
      <c r="I28" s="482"/>
      <c r="J28" s="482"/>
      <c r="K28" s="482"/>
      <c r="L28" s="482"/>
      <c r="M28" s="482"/>
      <c r="N28" s="482"/>
      <c r="O28" s="482"/>
      <c r="P28" s="482"/>
      <c r="Q28" s="482"/>
      <c r="R28" s="482"/>
      <c r="S28" s="482"/>
      <c r="T28" s="482"/>
      <c r="U28" s="482"/>
      <c r="V28" s="482"/>
      <c r="W28" s="482"/>
      <c r="X28" s="482"/>
      <c r="Y28" s="482"/>
      <c r="Z28" s="482"/>
      <c r="AA28" s="482"/>
      <c r="AB28" s="482"/>
      <c r="AC28" s="482"/>
      <c r="AD28" s="593">
        <f t="shared" si="3"/>
        <v>0</v>
      </c>
      <c r="AE28" s="699">
        <f t="shared" si="4"/>
        <v>0</v>
      </c>
      <c r="AF28" s="700" t="str">
        <f t="shared" si="5"/>
        <v>sell</v>
      </c>
    </row>
    <row r="29" spans="1:32" s="356" customFormat="1" hidden="1" x14ac:dyDescent="0.2">
      <c r="A29" s="617" t="s">
        <v>277</v>
      </c>
      <c r="B29" s="478" t="s">
        <v>240</v>
      </c>
      <c r="C29" s="478" t="s">
        <v>151</v>
      </c>
      <c r="D29" s="479">
        <f t="shared" si="6"/>
        <v>-0.25</v>
      </c>
      <c r="E29" s="479"/>
      <c r="F29" s="482"/>
      <c r="G29" s="669"/>
      <c r="H29" s="482"/>
      <c r="I29" s="482"/>
      <c r="J29" s="482"/>
      <c r="K29" s="482"/>
      <c r="L29" s="482"/>
      <c r="M29" s="482"/>
      <c r="N29" s="482"/>
      <c r="O29" s="482"/>
      <c r="P29" s="482"/>
      <c r="Q29" s="482"/>
      <c r="R29" s="482"/>
      <c r="S29" s="482"/>
      <c r="T29" s="482"/>
      <c r="U29" s="482"/>
      <c r="V29" s="482"/>
      <c r="W29" s="482"/>
      <c r="X29" s="482"/>
      <c r="Y29" s="482"/>
      <c r="Z29" s="482"/>
      <c r="AA29" s="482"/>
      <c r="AB29" s="482"/>
      <c r="AC29" s="482"/>
      <c r="AD29" s="593">
        <f t="shared" si="3"/>
        <v>0</v>
      </c>
      <c r="AE29" s="699">
        <f t="shared" si="4"/>
        <v>0</v>
      </c>
      <c r="AF29" s="700" t="str">
        <f t="shared" si="5"/>
        <v>sell</v>
      </c>
    </row>
    <row r="30" spans="1:32" s="356" customFormat="1" hidden="1" x14ac:dyDescent="0.2">
      <c r="A30" s="617" t="s">
        <v>277</v>
      </c>
      <c r="B30" s="478" t="s">
        <v>240</v>
      </c>
      <c r="C30" s="478" t="s">
        <v>151</v>
      </c>
      <c r="D30" s="479">
        <f t="shared" si="6"/>
        <v>-0.25</v>
      </c>
      <c r="E30" s="479"/>
      <c r="F30" s="482"/>
      <c r="G30" s="669"/>
      <c r="H30" s="482"/>
      <c r="I30" s="482"/>
      <c r="J30" s="482"/>
      <c r="K30" s="482"/>
      <c r="L30" s="482"/>
      <c r="M30" s="482"/>
      <c r="N30" s="482"/>
      <c r="O30" s="482"/>
      <c r="P30" s="482"/>
      <c r="Q30" s="482"/>
      <c r="R30" s="482"/>
      <c r="S30" s="482"/>
      <c r="T30" s="482"/>
      <c r="U30" s="482"/>
      <c r="V30" s="482"/>
      <c r="W30" s="482"/>
      <c r="X30" s="482"/>
      <c r="Y30" s="482"/>
      <c r="Z30" s="482"/>
      <c r="AA30" s="482"/>
      <c r="AB30" s="482"/>
      <c r="AC30" s="482"/>
      <c r="AD30" s="593">
        <f t="shared" si="3"/>
        <v>0</v>
      </c>
      <c r="AE30" s="699">
        <f t="shared" si="4"/>
        <v>0</v>
      </c>
      <c r="AF30" s="700" t="str">
        <f t="shared" si="5"/>
        <v>sell</v>
      </c>
    </row>
    <row r="31" spans="1:32" s="356" customFormat="1" hidden="1" x14ac:dyDescent="0.2">
      <c r="A31" s="617" t="s">
        <v>277</v>
      </c>
      <c r="B31" s="478" t="s">
        <v>240</v>
      </c>
      <c r="C31" s="478" t="s">
        <v>151</v>
      </c>
      <c r="D31" s="479">
        <f t="shared" si="6"/>
        <v>-0.25</v>
      </c>
      <c r="E31" s="479"/>
      <c r="F31" s="482"/>
      <c r="G31" s="669"/>
      <c r="H31" s="482"/>
      <c r="I31" s="482"/>
      <c r="J31" s="482"/>
      <c r="K31" s="482"/>
      <c r="L31" s="482"/>
      <c r="M31" s="482"/>
      <c r="N31" s="482"/>
      <c r="O31" s="482"/>
      <c r="P31" s="482"/>
      <c r="Q31" s="482"/>
      <c r="R31" s="482"/>
      <c r="S31" s="482"/>
      <c r="T31" s="482"/>
      <c r="U31" s="482"/>
      <c r="V31" s="482"/>
      <c r="W31" s="482"/>
      <c r="X31" s="482"/>
      <c r="Y31" s="482"/>
      <c r="Z31" s="482"/>
      <c r="AA31" s="482"/>
      <c r="AB31" s="482"/>
      <c r="AC31" s="482"/>
      <c r="AD31" s="593">
        <f t="shared" si="3"/>
        <v>0</v>
      </c>
      <c r="AE31" s="699">
        <f t="shared" si="4"/>
        <v>0</v>
      </c>
      <c r="AF31" s="700" t="str">
        <f t="shared" si="5"/>
        <v>sell</v>
      </c>
    </row>
    <row r="32" spans="1:32" s="356" customFormat="1" hidden="1" x14ac:dyDescent="0.2">
      <c r="A32" s="617" t="s">
        <v>277</v>
      </c>
      <c r="B32" s="478" t="s">
        <v>240</v>
      </c>
      <c r="C32" s="478" t="s">
        <v>151</v>
      </c>
      <c r="D32" s="479">
        <f t="shared" si="6"/>
        <v>-0.25</v>
      </c>
      <c r="E32" s="479"/>
      <c r="F32" s="482"/>
      <c r="G32" s="669"/>
      <c r="H32" s="482"/>
      <c r="I32" s="482"/>
      <c r="J32" s="482"/>
      <c r="K32" s="482"/>
      <c r="L32" s="482"/>
      <c r="M32" s="482"/>
      <c r="N32" s="482"/>
      <c r="O32" s="482"/>
      <c r="P32" s="482"/>
      <c r="Q32" s="482"/>
      <c r="R32" s="482"/>
      <c r="S32" s="482"/>
      <c r="T32" s="482"/>
      <c r="U32" s="482"/>
      <c r="V32" s="482"/>
      <c r="W32" s="482"/>
      <c r="X32" s="482"/>
      <c r="Y32" s="482"/>
      <c r="Z32" s="482"/>
      <c r="AA32" s="482"/>
      <c r="AB32" s="482"/>
      <c r="AC32" s="482"/>
      <c r="AD32" s="593">
        <f t="shared" si="3"/>
        <v>0</v>
      </c>
      <c r="AE32" s="699">
        <f t="shared" si="4"/>
        <v>0</v>
      </c>
      <c r="AF32" s="700" t="str">
        <f t="shared" si="5"/>
        <v>sell</v>
      </c>
    </row>
    <row r="33" spans="1:32" s="356" customFormat="1" hidden="1" x14ac:dyDescent="0.2">
      <c r="A33" s="617" t="s">
        <v>277</v>
      </c>
      <c r="B33" s="478" t="s">
        <v>240</v>
      </c>
      <c r="C33" s="478" t="s">
        <v>151</v>
      </c>
      <c r="D33" s="479">
        <f t="shared" si="6"/>
        <v>-0.25</v>
      </c>
      <c r="E33" s="479"/>
      <c r="F33" s="482"/>
      <c r="G33" s="669"/>
      <c r="H33" s="482"/>
      <c r="I33" s="482"/>
      <c r="J33" s="482"/>
      <c r="K33" s="482"/>
      <c r="L33" s="482"/>
      <c r="M33" s="482"/>
      <c r="N33" s="482"/>
      <c r="O33" s="482"/>
      <c r="P33" s="482"/>
      <c r="Q33" s="482"/>
      <c r="R33" s="482"/>
      <c r="S33" s="482"/>
      <c r="T33" s="482"/>
      <c r="U33" s="482"/>
      <c r="V33" s="482"/>
      <c r="W33" s="482"/>
      <c r="X33" s="482"/>
      <c r="Y33" s="482"/>
      <c r="Z33" s="482"/>
      <c r="AA33" s="482"/>
      <c r="AB33" s="482"/>
      <c r="AC33" s="482"/>
      <c r="AD33" s="593">
        <f t="shared" si="3"/>
        <v>0</v>
      </c>
      <c r="AE33" s="699">
        <f t="shared" si="4"/>
        <v>0</v>
      </c>
      <c r="AF33" s="700" t="str">
        <f t="shared" si="5"/>
        <v>sell</v>
      </c>
    </row>
    <row r="34" spans="1:32" s="356" customFormat="1" hidden="1" x14ac:dyDescent="0.2">
      <c r="A34" s="617" t="s">
        <v>277</v>
      </c>
      <c r="B34" s="478" t="s">
        <v>240</v>
      </c>
      <c r="C34" s="478" t="s">
        <v>151</v>
      </c>
      <c r="D34" s="479">
        <f t="shared" si="6"/>
        <v>-0.25</v>
      </c>
      <c r="E34" s="479"/>
      <c r="F34" s="482"/>
      <c r="G34" s="669"/>
      <c r="H34" s="482"/>
      <c r="I34" s="482"/>
      <c r="J34" s="482"/>
      <c r="K34" s="482"/>
      <c r="L34" s="482"/>
      <c r="M34" s="482"/>
      <c r="N34" s="482"/>
      <c r="O34" s="482"/>
      <c r="P34" s="482"/>
      <c r="Q34" s="482"/>
      <c r="R34" s="482"/>
      <c r="S34" s="482"/>
      <c r="T34" s="482"/>
      <c r="U34" s="482"/>
      <c r="V34" s="482"/>
      <c r="W34" s="482"/>
      <c r="X34" s="482"/>
      <c r="Y34" s="482"/>
      <c r="Z34" s="482"/>
      <c r="AA34" s="482"/>
      <c r="AB34" s="482"/>
      <c r="AC34" s="482"/>
      <c r="AD34" s="593">
        <f t="shared" si="3"/>
        <v>0</v>
      </c>
      <c r="AE34" s="699">
        <f t="shared" si="4"/>
        <v>0</v>
      </c>
      <c r="AF34" s="700" t="str">
        <f t="shared" si="5"/>
        <v>sell</v>
      </c>
    </row>
    <row r="35" spans="1:32" s="356" customFormat="1" hidden="1" x14ac:dyDescent="0.2">
      <c r="A35" s="617" t="s">
        <v>277</v>
      </c>
      <c r="B35" s="478" t="s">
        <v>240</v>
      </c>
      <c r="C35" s="478" t="s">
        <v>151</v>
      </c>
      <c r="D35" s="479">
        <f t="shared" si="6"/>
        <v>-0.25</v>
      </c>
      <c r="E35" s="479"/>
      <c r="F35" s="482"/>
      <c r="G35" s="669"/>
      <c r="H35" s="482"/>
      <c r="I35" s="482"/>
      <c r="J35" s="482"/>
      <c r="K35" s="482"/>
      <c r="L35" s="482"/>
      <c r="M35" s="482"/>
      <c r="N35" s="482"/>
      <c r="O35" s="482"/>
      <c r="P35" s="482"/>
      <c r="Q35" s="482"/>
      <c r="R35" s="482"/>
      <c r="S35" s="482"/>
      <c r="T35" s="482"/>
      <c r="U35" s="482"/>
      <c r="V35" s="482"/>
      <c r="W35" s="482"/>
      <c r="X35" s="482"/>
      <c r="Y35" s="482"/>
      <c r="Z35" s="482"/>
      <c r="AA35" s="482"/>
      <c r="AB35" s="482"/>
      <c r="AC35" s="482"/>
      <c r="AD35" s="593">
        <f t="shared" si="3"/>
        <v>0</v>
      </c>
      <c r="AE35" s="699">
        <f t="shared" si="4"/>
        <v>0</v>
      </c>
      <c r="AF35" s="700" t="str">
        <f t="shared" si="5"/>
        <v>sell</v>
      </c>
    </row>
    <row r="36" spans="1:32" s="356" customFormat="1" hidden="1" x14ac:dyDescent="0.2">
      <c r="A36" s="617" t="s">
        <v>277</v>
      </c>
      <c r="B36" s="478" t="s">
        <v>240</v>
      </c>
      <c r="C36" s="478" t="s">
        <v>151</v>
      </c>
      <c r="D36" s="479">
        <f t="shared" si="6"/>
        <v>-0.25</v>
      </c>
      <c r="E36" s="479"/>
      <c r="F36" s="482"/>
      <c r="G36" s="669"/>
      <c r="H36" s="482"/>
      <c r="I36" s="482"/>
      <c r="J36" s="482"/>
      <c r="K36" s="482"/>
      <c r="L36" s="482"/>
      <c r="M36" s="482"/>
      <c r="N36" s="482"/>
      <c r="O36" s="482"/>
      <c r="P36" s="482"/>
      <c r="Q36" s="482"/>
      <c r="R36" s="482"/>
      <c r="S36" s="482"/>
      <c r="T36" s="482"/>
      <c r="U36" s="482"/>
      <c r="V36" s="482"/>
      <c r="W36" s="482"/>
      <c r="X36" s="482"/>
      <c r="Y36" s="482"/>
      <c r="Z36" s="482"/>
      <c r="AA36" s="482"/>
      <c r="AB36" s="482"/>
      <c r="AC36" s="482"/>
      <c r="AD36" s="593">
        <f t="shared" si="3"/>
        <v>0</v>
      </c>
      <c r="AE36" s="699">
        <f t="shared" si="4"/>
        <v>0</v>
      </c>
      <c r="AF36" s="700" t="str">
        <f t="shared" si="5"/>
        <v>sell</v>
      </c>
    </row>
    <row r="37" spans="1:32" s="356" customFormat="1" hidden="1" x14ac:dyDescent="0.2">
      <c r="A37" s="617" t="s">
        <v>277</v>
      </c>
      <c r="B37" s="478" t="s">
        <v>240</v>
      </c>
      <c r="C37" s="478" t="s">
        <v>151</v>
      </c>
      <c r="D37" s="479">
        <f t="shared" si="6"/>
        <v>-0.25</v>
      </c>
      <c r="E37" s="479"/>
      <c r="F37" s="482"/>
      <c r="G37" s="669"/>
      <c r="H37" s="482"/>
      <c r="I37" s="482"/>
      <c r="J37" s="482"/>
      <c r="K37" s="482"/>
      <c r="L37" s="482"/>
      <c r="M37" s="482"/>
      <c r="N37" s="482"/>
      <c r="O37" s="482"/>
      <c r="P37" s="482"/>
      <c r="Q37" s="482"/>
      <c r="R37" s="482"/>
      <c r="S37" s="482"/>
      <c r="T37" s="482"/>
      <c r="U37" s="482"/>
      <c r="V37" s="482"/>
      <c r="W37" s="482"/>
      <c r="X37" s="482"/>
      <c r="Y37" s="482"/>
      <c r="Z37" s="482"/>
      <c r="AA37" s="671"/>
      <c r="AB37" s="482"/>
      <c r="AC37" s="482"/>
      <c r="AD37" s="593">
        <f t="shared" si="3"/>
        <v>0</v>
      </c>
      <c r="AE37" s="699">
        <f t="shared" si="4"/>
        <v>0</v>
      </c>
      <c r="AF37" s="700" t="str">
        <f t="shared" si="5"/>
        <v>sell</v>
      </c>
    </row>
    <row r="38" spans="1:32" s="356" customFormat="1" hidden="1" x14ac:dyDescent="0.2">
      <c r="A38" s="617" t="s">
        <v>277</v>
      </c>
      <c r="B38" s="478" t="s">
        <v>240</v>
      </c>
      <c r="C38" s="478" t="s">
        <v>151</v>
      </c>
      <c r="D38" s="479">
        <f t="shared" si="6"/>
        <v>-0.25</v>
      </c>
      <c r="E38" s="479"/>
      <c r="F38" s="482"/>
      <c r="G38" s="669"/>
      <c r="H38" s="482"/>
      <c r="I38" s="482"/>
      <c r="J38" s="482"/>
      <c r="K38" s="482"/>
      <c r="L38" s="482"/>
      <c r="M38" s="482"/>
      <c r="N38" s="482"/>
      <c r="O38" s="482"/>
      <c r="P38" s="482"/>
      <c r="Q38" s="482"/>
      <c r="R38" s="482"/>
      <c r="S38" s="482"/>
      <c r="T38" s="482"/>
      <c r="U38" s="482"/>
      <c r="V38" s="482"/>
      <c r="W38" s="482"/>
      <c r="X38" s="482"/>
      <c r="Y38" s="482"/>
      <c r="Z38" s="482"/>
      <c r="AA38" s="482"/>
      <c r="AB38" s="482"/>
      <c r="AC38" s="482"/>
      <c r="AD38" s="593">
        <f t="shared" si="3"/>
        <v>0</v>
      </c>
      <c r="AE38" s="699">
        <f t="shared" si="4"/>
        <v>0</v>
      </c>
      <c r="AF38" s="700" t="str">
        <f t="shared" si="5"/>
        <v>sell</v>
      </c>
    </row>
    <row r="39" spans="1:32" s="356" customFormat="1" hidden="1" x14ac:dyDescent="0.2">
      <c r="A39" s="617" t="s">
        <v>277</v>
      </c>
      <c r="B39" s="478" t="s">
        <v>240</v>
      </c>
      <c r="C39" s="478" t="s">
        <v>151</v>
      </c>
      <c r="D39" s="479">
        <f t="shared" si="6"/>
        <v>-0.25</v>
      </c>
      <c r="E39" s="479"/>
      <c r="F39" s="482"/>
      <c r="G39" s="669"/>
      <c r="H39" s="482"/>
      <c r="I39" s="482"/>
      <c r="J39" s="482"/>
      <c r="K39" s="482"/>
      <c r="L39" s="482"/>
      <c r="M39" s="482"/>
      <c r="N39" s="482"/>
      <c r="O39" s="482"/>
      <c r="P39" s="482"/>
      <c r="Q39" s="482"/>
      <c r="R39" s="482"/>
      <c r="S39" s="482"/>
      <c r="T39" s="482"/>
      <c r="U39" s="482"/>
      <c r="V39" s="482"/>
      <c r="W39" s="482"/>
      <c r="X39" s="482"/>
      <c r="Y39" s="482"/>
      <c r="Z39" s="482"/>
      <c r="AA39" s="482"/>
      <c r="AB39" s="482"/>
      <c r="AC39" s="482"/>
      <c r="AD39" s="593">
        <f t="shared" si="3"/>
        <v>0</v>
      </c>
      <c r="AE39" s="699">
        <f t="shared" si="4"/>
        <v>0</v>
      </c>
      <c r="AF39" s="700" t="str">
        <f t="shared" si="5"/>
        <v>sell</v>
      </c>
    </row>
    <row r="40" spans="1:32" s="356" customFormat="1" hidden="1" x14ac:dyDescent="0.2">
      <c r="A40" s="617" t="s">
        <v>277</v>
      </c>
      <c r="B40" s="478" t="s">
        <v>240</v>
      </c>
      <c r="C40" s="478" t="s">
        <v>151</v>
      </c>
      <c r="D40" s="479">
        <f t="shared" si="6"/>
        <v>-0.25</v>
      </c>
      <c r="E40" s="479"/>
      <c r="F40" s="482"/>
      <c r="G40" s="669"/>
      <c r="H40" s="482"/>
      <c r="I40" s="482"/>
      <c r="J40" s="482"/>
      <c r="K40" s="482"/>
      <c r="L40" s="482"/>
      <c r="M40" s="482"/>
      <c r="N40" s="482"/>
      <c r="O40" s="482"/>
      <c r="P40" s="482"/>
      <c r="Q40" s="482"/>
      <c r="R40" s="482"/>
      <c r="S40" s="482"/>
      <c r="T40" s="482"/>
      <c r="U40" s="482"/>
      <c r="V40" s="482"/>
      <c r="W40" s="482"/>
      <c r="X40" s="482"/>
      <c r="Y40" s="482"/>
      <c r="Z40" s="482"/>
      <c r="AA40" s="482"/>
      <c r="AB40" s="482"/>
      <c r="AC40" s="482"/>
      <c r="AD40" s="593">
        <f t="shared" si="3"/>
        <v>0</v>
      </c>
      <c r="AE40" s="699">
        <f t="shared" si="4"/>
        <v>0</v>
      </c>
      <c r="AF40" s="700" t="str">
        <f t="shared" si="5"/>
        <v>sell</v>
      </c>
    </row>
    <row r="41" spans="1:32" s="356" customFormat="1" hidden="1" x14ac:dyDescent="0.2">
      <c r="A41" s="617" t="s">
        <v>277</v>
      </c>
      <c r="B41" s="478" t="s">
        <v>240</v>
      </c>
      <c r="C41" s="478" t="s">
        <v>151</v>
      </c>
      <c r="D41" s="479">
        <f t="shared" si="6"/>
        <v>-0.25</v>
      </c>
      <c r="E41" s="479"/>
      <c r="F41" s="482"/>
      <c r="G41" s="669"/>
      <c r="H41" s="482"/>
      <c r="I41" s="482"/>
      <c r="J41" s="482"/>
      <c r="K41" s="482"/>
      <c r="L41" s="482"/>
      <c r="M41" s="482"/>
      <c r="N41" s="482"/>
      <c r="O41" s="482"/>
      <c r="P41" s="482"/>
      <c r="Q41" s="482"/>
      <c r="R41" s="482"/>
      <c r="S41" s="482"/>
      <c r="T41" s="482"/>
      <c r="U41" s="482"/>
      <c r="V41" s="482"/>
      <c r="W41" s="482"/>
      <c r="X41" s="482"/>
      <c r="Y41" s="482"/>
      <c r="Z41" s="482"/>
      <c r="AA41" s="482"/>
      <c r="AB41" s="482"/>
      <c r="AC41" s="482"/>
      <c r="AD41" s="593">
        <f t="shared" si="3"/>
        <v>0</v>
      </c>
      <c r="AE41" s="699">
        <f t="shared" si="4"/>
        <v>0</v>
      </c>
      <c r="AF41" s="700" t="str">
        <f t="shared" si="5"/>
        <v>sell</v>
      </c>
    </row>
    <row r="42" spans="1:32" s="356" customFormat="1" hidden="1" x14ac:dyDescent="0.2">
      <c r="A42" s="617" t="s">
        <v>277</v>
      </c>
      <c r="B42" s="478" t="s">
        <v>240</v>
      </c>
      <c r="C42" s="478" t="s">
        <v>151</v>
      </c>
      <c r="D42" s="479">
        <f t="shared" si="6"/>
        <v>-0.25</v>
      </c>
      <c r="E42" s="479"/>
      <c r="F42" s="482"/>
      <c r="G42" s="669"/>
      <c r="H42" s="482"/>
      <c r="I42" s="482"/>
      <c r="J42" s="482"/>
      <c r="K42" s="482"/>
      <c r="L42" s="482"/>
      <c r="M42" s="482"/>
      <c r="N42" s="482"/>
      <c r="O42" s="482"/>
      <c r="P42" s="482"/>
      <c r="Q42" s="482"/>
      <c r="R42" s="482"/>
      <c r="S42" s="482"/>
      <c r="T42" s="482"/>
      <c r="U42" s="482"/>
      <c r="V42" s="482"/>
      <c r="W42" s="482"/>
      <c r="X42" s="482"/>
      <c r="Y42" s="482"/>
      <c r="Z42" s="482"/>
      <c r="AA42" s="482"/>
      <c r="AB42" s="482"/>
      <c r="AC42" s="482"/>
      <c r="AD42" s="593">
        <f t="shared" si="3"/>
        <v>0</v>
      </c>
      <c r="AE42" s="699">
        <f t="shared" si="4"/>
        <v>0</v>
      </c>
      <c r="AF42" s="700" t="str">
        <f t="shared" si="5"/>
        <v>sell</v>
      </c>
    </row>
    <row r="43" spans="1:32" s="356" customFormat="1" hidden="1" x14ac:dyDescent="0.2">
      <c r="A43" s="617" t="s">
        <v>277</v>
      </c>
      <c r="B43" s="478" t="s">
        <v>240</v>
      </c>
      <c r="C43" s="478" t="s">
        <v>151</v>
      </c>
      <c r="D43" s="479">
        <f t="shared" si="6"/>
        <v>-0.25</v>
      </c>
      <c r="E43" s="479"/>
      <c r="F43" s="482"/>
      <c r="G43" s="669"/>
      <c r="H43" s="482"/>
      <c r="I43" s="482"/>
      <c r="J43" s="482"/>
      <c r="K43" s="482"/>
      <c r="L43" s="482"/>
      <c r="M43" s="482"/>
      <c r="N43" s="482"/>
      <c r="O43" s="482"/>
      <c r="P43" s="482"/>
      <c r="Q43" s="482"/>
      <c r="R43" s="482"/>
      <c r="S43" s="482"/>
      <c r="T43" s="482"/>
      <c r="U43" s="482"/>
      <c r="V43" s="482"/>
      <c r="W43" s="482"/>
      <c r="X43" s="482"/>
      <c r="Y43" s="482"/>
      <c r="Z43" s="482"/>
      <c r="AA43" s="482"/>
      <c r="AB43" s="482"/>
      <c r="AC43" s="482"/>
      <c r="AD43" s="593">
        <f t="shared" si="3"/>
        <v>0</v>
      </c>
      <c r="AE43" s="699">
        <f t="shared" si="4"/>
        <v>0</v>
      </c>
      <c r="AF43" s="700" t="str">
        <f t="shared" si="5"/>
        <v>sell</v>
      </c>
    </row>
    <row r="44" spans="1:32" s="356" customFormat="1" hidden="1" x14ac:dyDescent="0.2">
      <c r="A44" s="617" t="s">
        <v>277</v>
      </c>
      <c r="B44" s="478" t="s">
        <v>240</v>
      </c>
      <c r="C44" s="478" t="s">
        <v>151</v>
      </c>
      <c r="D44" s="479">
        <f t="shared" si="6"/>
        <v>-0.25</v>
      </c>
      <c r="E44" s="479"/>
      <c r="F44" s="482"/>
      <c r="G44" s="669"/>
      <c r="H44" s="482"/>
      <c r="I44" s="482"/>
      <c r="J44" s="482"/>
      <c r="K44" s="482"/>
      <c r="L44" s="482"/>
      <c r="M44" s="482"/>
      <c r="N44" s="482"/>
      <c r="O44" s="482"/>
      <c r="P44" s="482"/>
      <c r="Q44" s="482"/>
      <c r="R44" s="482"/>
      <c r="S44" s="482"/>
      <c r="T44" s="482"/>
      <c r="U44" s="482"/>
      <c r="V44" s="482"/>
      <c r="W44" s="482"/>
      <c r="X44" s="482"/>
      <c r="Y44" s="482"/>
      <c r="Z44" s="482"/>
      <c r="AA44" s="482"/>
      <c r="AB44" s="482"/>
      <c r="AC44" s="482"/>
      <c r="AD44" s="593">
        <f t="shared" si="3"/>
        <v>0</v>
      </c>
      <c r="AE44" s="699">
        <f t="shared" si="4"/>
        <v>0</v>
      </c>
      <c r="AF44" s="700" t="str">
        <f t="shared" si="5"/>
        <v>sell</v>
      </c>
    </row>
    <row r="45" spans="1:32" s="356" customFormat="1" hidden="1" x14ac:dyDescent="0.2">
      <c r="A45" s="617"/>
      <c r="B45" s="478"/>
      <c r="C45" s="478"/>
      <c r="D45" s="479"/>
      <c r="E45" s="479"/>
      <c r="F45" s="482"/>
      <c r="G45" s="669"/>
      <c r="H45" s="482"/>
      <c r="I45" s="482"/>
      <c r="J45" s="482"/>
      <c r="K45" s="482"/>
      <c r="L45" s="482"/>
      <c r="M45" s="482"/>
      <c r="N45" s="482"/>
      <c r="O45" s="482"/>
      <c r="P45" s="482"/>
      <c r="Q45" s="482"/>
      <c r="R45" s="482"/>
      <c r="S45" s="482"/>
      <c r="T45" s="482"/>
      <c r="U45" s="482"/>
      <c r="V45" s="482"/>
      <c r="W45" s="482"/>
      <c r="X45" s="482"/>
      <c r="Y45" s="482"/>
      <c r="Z45" s="482"/>
      <c r="AA45" s="482"/>
      <c r="AB45" s="482"/>
      <c r="AC45" s="482"/>
      <c r="AD45" s="593">
        <f t="shared" si="3"/>
        <v>0</v>
      </c>
      <c r="AE45" s="699">
        <f t="shared" si="4"/>
        <v>0</v>
      </c>
      <c r="AF45" s="700"/>
    </row>
    <row r="46" spans="1:32" s="356" customFormat="1" hidden="1" x14ac:dyDescent="0.2">
      <c r="A46" s="617" t="s">
        <v>277</v>
      </c>
      <c r="B46" s="478" t="s">
        <v>240</v>
      </c>
      <c r="C46" s="478" t="s">
        <v>278</v>
      </c>
      <c r="D46" s="479">
        <f t="shared" ref="D46:D68" si="7">F139</f>
        <v>-0.25</v>
      </c>
      <c r="E46" s="479"/>
      <c r="F46" s="482">
        <v>0</v>
      </c>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93">
        <f t="shared" si="3"/>
        <v>0</v>
      </c>
      <c r="AE46" s="699">
        <f t="shared" si="4"/>
        <v>0</v>
      </c>
      <c r="AF46" s="700" t="str">
        <f>IF(AD46&lt;0,"buy","sell")</f>
        <v>sell</v>
      </c>
    </row>
    <row r="47" spans="1:32" s="356" customFormat="1" hidden="1" x14ac:dyDescent="0.2">
      <c r="A47" s="617" t="s">
        <v>277</v>
      </c>
      <c r="B47" s="478" t="s">
        <v>240</v>
      </c>
      <c r="C47" s="478" t="s">
        <v>278</v>
      </c>
      <c r="D47" s="479">
        <f t="shared" si="7"/>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93">
        <f t="shared" si="3"/>
        <v>0</v>
      </c>
      <c r="AE47" s="699">
        <f t="shared" si="4"/>
        <v>0</v>
      </c>
      <c r="AF47" s="700" t="str">
        <f t="shared" ref="AF47:AF69" si="8">IF(AD47&lt;0,"buy","sell")</f>
        <v>sell</v>
      </c>
    </row>
    <row r="48" spans="1:32" s="356" customFormat="1" hidden="1" x14ac:dyDescent="0.2">
      <c r="A48" s="617" t="s">
        <v>277</v>
      </c>
      <c r="B48" s="478" t="s">
        <v>240</v>
      </c>
      <c r="C48" s="478" t="s">
        <v>278</v>
      </c>
      <c r="D48" s="479">
        <f t="shared" si="7"/>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93">
        <f t="shared" si="3"/>
        <v>0</v>
      </c>
      <c r="AE48" s="699">
        <f t="shared" si="4"/>
        <v>0</v>
      </c>
      <c r="AF48" s="700" t="str">
        <f t="shared" si="8"/>
        <v>sell</v>
      </c>
    </row>
    <row r="49" spans="1:32" s="356" customFormat="1" hidden="1" x14ac:dyDescent="0.2">
      <c r="A49" s="617"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93">
        <f t="shared" si="3"/>
        <v>0</v>
      </c>
      <c r="AE49" s="699">
        <f t="shared" si="4"/>
        <v>0</v>
      </c>
      <c r="AF49" s="700" t="str">
        <f t="shared" si="8"/>
        <v>sell</v>
      </c>
    </row>
    <row r="50" spans="1:32" s="356" customFormat="1" hidden="1" x14ac:dyDescent="0.2">
      <c r="A50" s="617"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93">
        <f t="shared" si="3"/>
        <v>0</v>
      </c>
      <c r="AE50" s="699">
        <f t="shared" si="4"/>
        <v>0</v>
      </c>
      <c r="AF50" s="700" t="str">
        <f t="shared" si="8"/>
        <v>sell</v>
      </c>
    </row>
    <row r="51" spans="1:32" s="356" customFormat="1" hidden="1" x14ac:dyDescent="0.2">
      <c r="A51" s="617"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93">
        <f t="shared" si="3"/>
        <v>0</v>
      </c>
      <c r="AE51" s="699">
        <f t="shared" si="4"/>
        <v>0</v>
      </c>
      <c r="AF51" s="700" t="str">
        <f t="shared" si="8"/>
        <v>sell</v>
      </c>
    </row>
    <row r="52" spans="1:32" s="356" customFormat="1" hidden="1" x14ac:dyDescent="0.2">
      <c r="A52" s="617"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93">
        <f t="shared" si="3"/>
        <v>0</v>
      </c>
      <c r="AE52" s="699">
        <f t="shared" si="4"/>
        <v>0</v>
      </c>
      <c r="AF52" s="700" t="str">
        <f t="shared" si="8"/>
        <v>sell</v>
      </c>
    </row>
    <row r="53" spans="1:32" s="356" customFormat="1" hidden="1" x14ac:dyDescent="0.2">
      <c r="A53" s="617"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93">
        <f t="shared" si="3"/>
        <v>0</v>
      </c>
      <c r="AE53" s="699">
        <f t="shared" si="4"/>
        <v>0</v>
      </c>
      <c r="AF53" s="700" t="str">
        <f t="shared" si="8"/>
        <v>sell</v>
      </c>
    </row>
    <row r="54" spans="1:32" s="356" customFormat="1" hidden="1" x14ac:dyDescent="0.2">
      <c r="A54" s="617"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93">
        <f t="shared" si="3"/>
        <v>0</v>
      </c>
      <c r="AE54" s="699">
        <f t="shared" si="4"/>
        <v>0</v>
      </c>
      <c r="AF54" s="700" t="str">
        <f t="shared" si="8"/>
        <v>sell</v>
      </c>
    </row>
    <row r="55" spans="1:32" s="356" customFormat="1" hidden="1" x14ac:dyDescent="0.2">
      <c r="A55" s="617"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93">
        <f t="shared" si="3"/>
        <v>0</v>
      </c>
      <c r="AE55" s="699">
        <f t="shared" si="4"/>
        <v>0</v>
      </c>
      <c r="AF55" s="700" t="str">
        <f t="shared" si="8"/>
        <v>sell</v>
      </c>
    </row>
    <row r="56" spans="1:32" s="356" customFormat="1" hidden="1" x14ac:dyDescent="0.2">
      <c r="A56" s="617"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93">
        <f t="shared" si="3"/>
        <v>0</v>
      </c>
      <c r="AE56" s="699">
        <f t="shared" si="4"/>
        <v>0</v>
      </c>
      <c r="AF56" s="700" t="str">
        <f t="shared" si="8"/>
        <v>sell</v>
      </c>
    </row>
    <row r="57" spans="1:32" s="356" customFormat="1" hidden="1" x14ac:dyDescent="0.2">
      <c r="A57" s="617"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93">
        <f t="shared" si="3"/>
        <v>0</v>
      </c>
      <c r="AE57" s="699">
        <f t="shared" si="4"/>
        <v>0</v>
      </c>
      <c r="AF57" s="700" t="str">
        <f t="shared" si="8"/>
        <v>sell</v>
      </c>
    </row>
    <row r="58" spans="1:32" s="356" customFormat="1" hidden="1" x14ac:dyDescent="0.2">
      <c r="A58" s="617"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93">
        <f t="shared" si="3"/>
        <v>0</v>
      </c>
      <c r="AE58" s="699">
        <f t="shared" si="4"/>
        <v>0</v>
      </c>
      <c r="AF58" s="700" t="str">
        <f t="shared" si="8"/>
        <v>sell</v>
      </c>
    </row>
    <row r="59" spans="1:32" s="356" customFormat="1" hidden="1" x14ac:dyDescent="0.2">
      <c r="A59" s="617"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93">
        <f t="shared" si="3"/>
        <v>0</v>
      </c>
      <c r="AE59" s="699">
        <f t="shared" si="4"/>
        <v>0</v>
      </c>
      <c r="AF59" s="700" t="str">
        <f t="shared" si="8"/>
        <v>sell</v>
      </c>
    </row>
    <row r="60" spans="1:32" s="356" customFormat="1" hidden="1" x14ac:dyDescent="0.2">
      <c r="A60" s="617"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93">
        <f t="shared" si="3"/>
        <v>0</v>
      </c>
      <c r="AE60" s="699">
        <f t="shared" si="4"/>
        <v>0</v>
      </c>
      <c r="AF60" s="700" t="str">
        <f t="shared" si="8"/>
        <v>sell</v>
      </c>
    </row>
    <row r="61" spans="1:32" s="356" customFormat="1" hidden="1" x14ac:dyDescent="0.2">
      <c r="A61" s="617"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93">
        <f t="shared" si="3"/>
        <v>0</v>
      </c>
      <c r="AE61" s="699">
        <f t="shared" si="4"/>
        <v>0</v>
      </c>
      <c r="AF61" s="700" t="str">
        <f t="shared" si="8"/>
        <v>sell</v>
      </c>
    </row>
    <row r="62" spans="1:32" s="356" customFormat="1" hidden="1" x14ac:dyDescent="0.2">
      <c r="A62" s="617"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93">
        <f t="shared" si="3"/>
        <v>0</v>
      </c>
      <c r="AE62" s="699">
        <f t="shared" si="4"/>
        <v>0</v>
      </c>
      <c r="AF62" s="700" t="str">
        <f t="shared" si="8"/>
        <v>sell</v>
      </c>
    </row>
    <row r="63" spans="1:32" s="356" customFormat="1" hidden="1" x14ac:dyDescent="0.2">
      <c r="A63" s="617"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93">
        <f t="shared" si="3"/>
        <v>0</v>
      </c>
      <c r="AE63" s="699">
        <f t="shared" si="4"/>
        <v>0</v>
      </c>
      <c r="AF63" s="700" t="str">
        <f t="shared" si="8"/>
        <v>sell</v>
      </c>
    </row>
    <row r="64" spans="1:32" s="356" customFormat="1" hidden="1" x14ac:dyDescent="0.2">
      <c r="A64" s="617"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93">
        <f t="shared" si="3"/>
        <v>0</v>
      </c>
      <c r="AE64" s="699">
        <f t="shared" si="4"/>
        <v>0</v>
      </c>
      <c r="AF64" s="700" t="str">
        <f t="shared" si="8"/>
        <v>sell</v>
      </c>
    </row>
    <row r="65" spans="1:32" s="356" customFormat="1" hidden="1" x14ac:dyDescent="0.2">
      <c r="A65" s="617"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93">
        <f t="shared" si="3"/>
        <v>0</v>
      </c>
      <c r="AE65" s="699">
        <f t="shared" si="4"/>
        <v>0</v>
      </c>
      <c r="AF65" s="700" t="str">
        <f t="shared" si="8"/>
        <v>sell</v>
      </c>
    </row>
    <row r="66" spans="1:32" s="356" customFormat="1" hidden="1" x14ac:dyDescent="0.2">
      <c r="A66" s="617"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93">
        <f t="shared" si="3"/>
        <v>0</v>
      </c>
      <c r="AE66" s="699">
        <f t="shared" si="4"/>
        <v>0</v>
      </c>
      <c r="AF66" s="700" t="str">
        <f t="shared" si="8"/>
        <v>sell</v>
      </c>
    </row>
    <row r="67" spans="1:32" s="356" customFormat="1" hidden="1" x14ac:dyDescent="0.2">
      <c r="A67" s="617"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93">
        <f t="shared" si="3"/>
        <v>0</v>
      </c>
      <c r="AE67" s="699">
        <f t="shared" si="4"/>
        <v>0</v>
      </c>
      <c r="AF67" s="700" t="str">
        <f t="shared" si="8"/>
        <v>sell</v>
      </c>
    </row>
    <row r="68" spans="1:32" s="356" customFormat="1" hidden="1" x14ac:dyDescent="0.2">
      <c r="A68" s="617"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93">
        <f t="shared" si="3"/>
        <v>0</v>
      </c>
      <c r="AE68" s="699">
        <f t="shared" si="4"/>
        <v>0</v>
      </c>
      <c r="AF68" s="700" t="str">
        <f t="shared" si="8"/>
        <v>sell</v>
      </c>
    </row>
    <row r="69" spans="1:32" s="356" customFormat="1" hidden="1" x14ac:dyDescent="0.2">
      <c r="A69" s="617"/>
      <c r="B69" s="478"/>
      <c r="C69" s="478"/>
      <c r="D69" s="479"/>
      <c r="E69" s="479"/>
      <c r="F69" s="482"/>
      <c r="G69" s="669"/>
      <c r="H69" s="482"/>
      <c r="I69" s="482"/>
      <c r="J69" s="482"/>
      <c r="K69" s="482"/>
      <c r="L69" s="482"/>
      <c r="M69" s="482"/>
      <c r="N69" s="482"/>
      <c r="O69" s="482"/>
      <c r="P69" s="482"/>
      <c r="Q69" s="482"/>
      <c r="R69" s="482"/>
      <c r="S69" s="482"/>
      <c r="T69" s="482"/>
      <c r="U69" s="482"/>
      <c r="V69" s="482"/>
      <c r="W69" s="482"/>
      <c r="X69" s="482"/>
      <c r="Y69" s="482"/>
      <c r="Z69" s="482"/>
      <c r="AA69" s="482"/>
      <c r="AB69" s="482"/>
      <c r="AC69" s="482"/>
      <c r="AD69" s="594">
        <f t="shared" si="3"/>
        <v>0</v>
      </c>
      <c r="AE69" s="701">
        <f t="shared" si="4"/>
        <v>0</v>
      </c>
      <c r="AF69" s="702" t="str">
        <f t="shared" si="8"/>
        <v>sell</v>
      </c>
    </row>
    <row r="70" spans="1:32" s="614" customFormat="1" ht="12.75" customHeight="1" x14ac:dyDescent="0.2">
      <c r="A70" s="620"/>
      <c r="B70" s="621"/>
      <c r="C70" s="621"/>
      <c r="D70" s="625"/>
      <c r="E70" s="628"/>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94">
        <f t="shared" ref="AD70:AD77" si="9">SUM(E70:AC70)</f>
        <v>0</v>
      </c>
      <c r="AE70" s="701">
        <f t="shared" ref="AE70:AE77" si="10">AD70*D70</f>
        <v>0</v>
      </c>
      <c r="AF70" s="702" t="str">
        <f t="shared" ref="AF70:AF77" si="11">IF(AD70&lt;0,"buy","sell")</f>
        <v>sell</v>
      </c>
    </row>
    <row r="71" spans="1:32" s="614" customFormat="1" ht="12.75" customHeight="1" x14ac:dyDescent="0.2">
      <c r="A71" s="617" t="s">
        <v>366</v>
      </c>
      <c r="B71" s="621" t="s">
        <v>240</v>
      </c>
      <c r="C71" s="621" t="s">
        <v>151</v>
      </c>
      <c r="D71" s="625">
        <v>19.2</v>
      </c>
      <c r="E71" s="628"/>
      <c r="F71" s="717">
        <v>25</v>
      </c>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94">
        <f t="shared" si="9"/>
        <v>25</v>
      </c>
      <c r="AE71" s="701">
        <f t="shared" si="10"/>
        <v>480</v>
      </c>
      <c r="AF71" s="702" t="str">
        <f t="shared" si="11"/>
        <v>sell</v>
      </c>
    </row>
    <row r="72" spans="1:32" s="614" customFormat="1" ht="12.75" customHeight="1" x14ac:dyDescent="0.2">
      <c r="A72" s="617" t="s">
        <v>366</v>
      </c>
      <c r="B72" s="621" t="s">
        <v>240</v>
      </c>
      <c r="C72" s="621" t="s">
        <v>151</v>
      </c>
      <c r="D72" s="625">
        <v>18.75</v>
      </c>
      <c r="E72" s="628"/>
      <c r="F72" s="717">
        <v>25</v>
      </c>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94">
        <f t="shared" si="9"/>
        <v>25</v>
      </c>
      <c r="AE72" s="701">
        <f t="shared" si="10"/>
        <v>468.75</v>
      </c>
      <c r="AF72" s="702" t="str">
        <f t="shared" si="11"/>
        <v>sell</v>
      </c>
    </row>
    <row r="73" spans="1:32" s="614" customFormat="1" ht="12.75" customHeight="1" x14ac:dyDescent="0.2">
      <c r="A73" s="617" t="s">
        <v>366</v>
      </c>
      <c r="B73" s="621" t="s">
        <v>240</v>
      </c>
      <c r="C73" s="621" t="s">
        <v>151</v>
      </c>
      <c r="D73" s="625">
        <v>18.850000000000001</v>
      </c>
      <c r="E73" s="628"/>
      <c r="F73" s="717">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94">
        <f t="shared" si="9"/>
        <v>25</v>
      </c>
      <c r="AE73" s="701">
        <f t="shared" si="10"/>
        <v>471.25000000000006</v>
      </c>
      <c r="AF73" s="702" t="str">
        <f t="shared" si="11"/>
        <v>sell</v>
      </c>
    </row>
    <row r="74" spans="1:32" s="614" customFormat="1" ht="12.75" customHeight="1" x14ac:dyDescent="0.2">
      <c r="A74" s="617" t="s">
        <v>366</v>
      </c>
      <c r="B74" s="621" t="s">
        <v>240</v>
      </c>
      <c r="C74" s="621" t="s">
        <v>278</v>
      </c>
      <c r="D74" s="625">
        <v>18.25</v>
      </c>
      <c r="E74" s="628"/>
      <c r="F74" s="717">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94">
        <f t="shared" si="9"/>
        <v>25</v>
      </c>
      <c r="AE74" s="701">
        <f t="shared" si="10"/>
        <v>456.25</v>
      </c>
      <c r="AF74" s="702" t="str">
        <f t="shared" si="11"/>
        <v>sell</v>
      </c>
    </row>
    <row r="75" spans="1:32" s="614" customFormat="1" ht="12.75" customHeight="1" x14ac:dyDescent="0.2">
      <c r="A75" s="617" t="s">
        <v>366</v>
      </c>
      <c r="B75" s="621" t="s">
        <v>240</v>
      </c>
      <c r="C75" s="621" t="s">
        <v>151</v>
      </c>
      <c r="D75" s="625">
        <v>19.2</v>
      </c>
      <c r="E75" s="628"/>
      <c r="F75" s="482"/>
      <c r="G75" s="717">
        <v>25</v>
      </c>
      <c r="H75" s="717">
        <v>25</v>
      </c>
      <c r="I75" s="717">
        <v>25</v>
      </c>
      <c r="J75" s="717">
        <v>25</v>
      </c>
      <c r="K75" s="717">
        <v>25</v>
      </c>
      <c r="L75" s="717">
        <v>25</v>
      </c>
      <c r="M75" s="717"/>
      <c r="N75" s="717"/>
      <c r="O75" s="717"/>
      <c r="P75" s="717"/>
      <c r="Q75" s="717"/>
      <c r="R75" s="717"/>
      <c r="S75" s="717"/>
      <c r="T75" s="717"/>
      <c r="U75" s="717"/>
      <c r="V75" s="717"/>
      <c r="W75" s="717"/>
      <c r="X75" s="717"/>
      <c r="Y75" s="717"/>
      <c r="Z75" s="717"/>
      <c r="AA75" s="717"/>
      <c r="AB75" s="717"/>
      <c r="AC75" s="717">
        <v>25</v>
      </c>
      <c r="AD75" s="594">
        <f t="shared" si="9"/>
        <v>175</v>
      </c>
      <c r="AE75" s="701">
        <f t="shared" si="10"/>
        <v>3360</v>
      </c>
      <c r="AF75" s="702" t="str">
        <f t="shared" si="11"/>
        <v>sell</v>
      </c>
    </row>
    <row r="76" spans="1:32" s="614" customFormat="1" ht="12.75" customHeight="1" x14ac:dyDescent="0.2">
      <c r="A76" s="622" t="s">
        <v>366</v>
      </c>
      <c r="B76" s="621" t="s">
        <v>240</v>
      </c>
      <c r="C76" s="621" t="s">
        <v>151</v>
      </c>
      <c r="D76" s="625">
        <v>18.75</v>
      </c>
      <c r="E76" s="628"/>
      <c r="F76" s="482"/>
      <c r="G76" s="717">
        <v>25</v>
      </c>
      <c r="H76" s="717">
        <v>25</v>
      </c>
      <c r="I76" s="717">
        <v>25</v>
      </c>
      <c r="J76" s="717">
        <v>25</v>
      </c>
      <c r="K76" s="717">
        <v>25</v>
      </c>
      <c r="L76" s="717">
        <v>25</v>
      </c>
      <c r="M76" s="717"/>
      <c r="N76" s="717"/>
      <c r="O76" s="717"/>
      <c r="P76" s="717"/>
      <c r="Q76" s="717"/>
      <c r="R76" s="717"/>
      <c r="S76" s="717"/>
      <c r="T76" s="717"/>
      <c r="U76" s="717"/>
      <c r="V76" s="717"/>
      <c r="W76" s="717"/>
      <c r="X76" s="717"/>
      <c r="Y76" s="717"/>
      <c r="Z76" s="717"/>
      <c r="AA76" s="717"/>
      <c r="AB76" s="482"/>
      <c r="AC76" s="717">
        <v>25</v>
      </c>
      <c r="AD76" s="594">
        <f t="shared" si="9"/>
        <v>175</v>
      </c>
      <c r="AE76" s="701">
        <f t="shared" si="10"/>
        <v>3281.25</v>
      </c>
      <c r="AF76" s="702" t="str">
        <f t="shared" si="11"/>
        <v>sell</v>
      </c>
    </row>
    <row r="77" spans="1:32" s="614" customFormat="1" ht="12.75" customHeight="1" x14ac:dyDescent="0.2">
      <c r="A77" s="622" t="s">
        <v>366</v>
      </c>
      <c r="B77" s="621" t="s">
        <v>240</v>
      </c>
      <c r="C77" s="621" t="s">
        <v>151</v>
      </c>
      <c r="D77" s="625">
        <v>18.25</v>
      </c>
      <c r="E77" s="628"/>
      <c r="F77" s="482"/>
      <c r="G77" s="717">
        <v>25</v>
      </c>
      <c r="H77" s="717">
        <v>25</v>
      </c>
      <c r="I77" s="717">
        <v>25</v>
      </c>
      <c r="J77" s="717">
        <v>25</v>
      </c>
      <c r="K77" s="717">
        <v>25</v>
      </c>
      <c r="L77" s="717">
        <v>25</v>
      </c>
      <c r="M77" s="482"/>
      <c r="N77" s="482"/>
      <c r="O77" s="482"/>
      <c r="P77" s="482"/>
      <c r="Q77" s="482"/>
      <c r="R77" s="482"/>
      <c r="S77" s="482"/>
      <c r="T77" s="482"/>
      <c r="U77" s="482"/>
      <c r="V77" s="482"/>
      <c r="W77" s="482"/>
      <c r="X77" s="482"/>
      <c r="Y77" s="482"/>
      <c r="Z77" s="482"/>
      <c r="AA77" s="482"/>
      <c r="AB77" s="482"/>
      <c r="AC77" s="717">
        <v>25</v>
      </c>
      <c r="AD77" s="594">
        <f t="shared" si="9"/>
        <v>175</v>
      </c>
      <c r="AE77" s="701">
        <f t="shared" si="10"/>
        <v>3193.75</v>
      </c>
      <c r="AF77" s="702" t="str">
        <f t="shared" si="11"/>
        <v>sell</v>
      </c>
    </row>
    <row r="78" spans="1:32" s="614" customFormat="1" ht="12.75" customHeight="1" x14ac:dyDescent="0.2">
      <c r="A78" s="622" t="s">
        <v>366</v>
      </c>
      <c r="B78" s="621" t="s">
        <v>240</v>
      </c>
      <c r="C78" s="621" t="s">
        <v>151</v>
      </c>
      <c r="D78" s="625">
        <v>18.850000000000001</v>
      </c>
      <c r="E78" s="628"/>
      <c r="F78" s="482"/>
      <c r="G78" s="717">
        <v>25</v>
      </c>
      <c r="H78" s="717">
        <v>25</v>
      </c>
      <c r="I78" s="717">
        <v>25</v>
      </c>
      <c r="J78" s="717">
        <v>25</v>
      </c>
      <c r="K78" s="717">
        <v>25</v>
      </c>
      <c r="L78" s="717">
        <v>25</v>
      </c>
      <c r="M78" s="482"/>
      <c r="N78" s="482"/>
      <c r="O78" s="482"/>
      <c r="P78" s="482"/>
      <c r="Q78" s="482"/>
      <c r="R78" s="482"/>
      <c r="S78" s="482"/>
      <c r="T78" s="482"/>
      <c r="U78" s="482"/>
      <c r="V78" s="482"/>
      <c r="W78" s="482"/>
      <c r="X78" s="482"/>
      <c r="Y78" s="482"/>
      <c r="Z78" s="482"/>
      <c r="AA78" s="482"/>
      <c r="AB78" s="482"/>
      <c r="AC78" s="717">
        <v>25</v>
      </c>
      <c r="AD78" s="594">
        <f>SUM(E78:AC78)</f>
        <v>175</v>
      </c>
      <c r="AE78" s="701">
        <f>AD78*D78</f>
        <v>3298.7500000000005</v>
      </c>
      <c r="AF78" s="702" t="str">
        <f>IF(AD78&lt;0,"buy","sell")</f>
        <v>sell</v>
      </c>
    </row>
    <row r="79" spans="1:32" s="614" customFormat="1" ht="12.75" customHeight="1" x14ac:dyDescent="0.2">
      <c r="A79" s="622" t="s">
        <v>366</v>
      </c>
      <c r="B79" s="621" t="s">
        <v>240</v>
      </c>
      <c r="C79" s="621" t="s">
        <v>151</v>
      </c>
      <c r="D79" s="625">
        <v>28</v>
      </c>
      <c r="E79" s="628"/>
      <c r="F79" s="482"/>
      <c r="G79" s="482"/>
      <c r="H79" s="482"/>
      <c r="I79" s="482"/>
      <c r="J79" s="482"/>
      <c r="K79" s="482"/>
      <c r="L79" s="482"/>
      <c r="M79" s="482">
        <v>23</v>
      </c>
      <c r="N79" s="482">
        <v>25</v>
      </c>
      <c r="O79" s="482">
        <v>25</v>
      </c>
      <c r="P79" s="482">
        <v>25</v>
      </c>
      <c r="Q79" s="482">
        <v>25</v>
      </c>
      <c r="R79" s="482">
        <v>25</v>
      </c>
      <c r="S79" s="482">
        <v>25</v>
      </c>
      <c r="T79" s="482">
        <v>25</v>
      </c>
      <c r="U79" s="482">
        <v>25</v>
      </c>
      <c r="V79" s="482">
        <v>25</v>
      </c>
      <c r="W79" s="482">
        <v>25</v>
      </c>
      <c r="X79" s="482">
        <v>25</v>
      </c>
      <c r="Y79" s="482">
        <v>25</v>
      </c>
      <c r="Z79" s="482">
        <v>25</v>
      </c>
      <c r="AA79" s="482">
        <v>25</v>
      </c>
      <c r="AB79" s="482">
        <v>25</v>
      </c>
      <c r="AC79" s="482"/>
      <c r="AD79" s="594">
        <f>SUM(E79:AC79)</f>
        <v>398</v>
      </c>
      <c r="AE79" s="701">
        <f>AD79*D79</f>
        <v>11144</v>
      </c>
      <c r="AF79" s="702" t="str">
        <f>IF(AD79&lt;0,"buy","sell")</f>
        <v>sell</v>
      </c>
    </row>
    <row r="80" spans="1:32" s="614" customFormat="1" ht="12.75" customHeight="1" x14ac:dyDescent="0.2">
      <c r="A80" s="622" t="s">
        <v>366</v>
      </c>
      <c r="B80" s="621" t="s">
        <v>240</v>
      </c>
      <c r="C80" s="621" t="s">
        <v>151</v>
      </c>
      <c r="D80" s="625">
        <v>28</v>
      </c>
      <c r="E80" s="628"/>
      <c r="F80" s="482"/>
      <c r="G80" s="482"/>
      <c r="H80" s="482"/>
      <c r="I80" s="482"/>
      <c r="J80" s="482"/>
      <c r="K80" s="482"/>
      <c r="L80" s="482"/>
      <c r="M80" s="482">
        <v>25</v>
      </c>
      <c r="N80" s="482">
        <v>25</v>
      </c>
      <c r="O80" s="482">
        <v>25</v>
      </c>
      <c r="P80" s="482">
        <v>25</v>
      </c>
      <c r="Q80" s="482">
        <v>25</v>
      </c>
      <c r="R80" s="482">
        <v>25</v>
      </c>
      <c r="S80" s="482">
        <v>25</v>
      </c>
      <c r="T80" s="482">
        <v>25</v>
      </c>
      <c r="U80" s="482">
        <v>25</v>
      </c>
      <c r="V80" s="482">
        <v>25</v>
      </c>
      <c r="W80" s="482">
        <v>25</v>
      </c>
      <c r="X80" s="482">
        <v>25</v>
      </c>
      <c r="Y80" s="482">
        <v>25</v>
      </c>
      <c r="Z80" s="482">
        <v>25</v>
      </c>
      <c r="AA80" s="482">
        <v>25</v>
      </c>
      <c r="AB80" s="482">
        <v>25</v>
      </c>
      <c r="AC80" s="482"/>
      <c r="AD80" s="594">
        <f>SUM(E80:AC80)</f>
        <v>400</v>
      </c>
      <c r="AE80" s="701">
        <f>AD80*D80</f>
        <v>11200</v>
      </c>
      <c r="AF80" s="702" t="str">
        <f>IF(AD80&lt;0,"buy","sell")</f>
        <v>sell</v>
      </c>
    </row>
    <row r="81" spans="1:32" s="614" customFormat="1" ht="12.75" customHeight="1" x14ac:dyDescent="0.2">
      <c r="A81" s="622" t="s">
        <v>366</v>
      </c>
      <c r="B81" s="621" t="s">
        <v>376</v>
      </c>
      <c r="C81" s="621" t="s">
        <v>377</v>
      </c>
      <c r="D81" s="625">
        <v>28</v>
      </c>
      <c r="E81" s="628"/>
      <c r="F81" s="482"/>
      <c r="G81" s="482"/>
      <c r="H81" s="482"/>
      <c r="I81" s="482"/>
      <c r="J81" s="482"/>
      <c r="K81" s="482"/>
      <c r="L81" s="482"/>
      <c r="M81" s="482">
        <v>2</v>
      </c>
      <c r="N81" s="482"/>
      <c r="O81" s="482"/>
      <c r="P81" s="482"/>
      <c r="Q81" s="482"/>
      <c r="R81" s="482"/>
      <c r="S81" s="482"/>
      <c r="T81" s="482"/>
      <c r="U81" s="482"/>
      <c r="V81" s="482"/>
      <c r="W81" s="482"/>
      <c r="X81" s="482"/>
      <c r="Y81" s="482"/>
      <c r="Z81" s="482"/>
      <c r="AA81" s="482"/>
      <c r="AB81" s="482"/>
      <c r="AC81" s="482"/>
      <c r="AD81" s="594">
        <f>SUM(E81:AC81)</f>
        <v>2</v>
      </c>
      <c r="AE81" s="701">
        <f>AD81*D81</f>
        <v>56</v>
      </c>
      <c r="AF81" s="702" t="str">
        <f>IF(AD81&lt;0,"buy","sell")</f>
        <v>sell</v>
      </c>
    </row>
    <row r="82" spans="1:32" s="614" customFormat="1" ht="12.75" customHeight="1" x14ac:dyDescent="0.2">
      <c r="A82" s="622"/>
      <c r="B82" s="621"/>
      <c r="C82" s="621"/>
      <c r="D82" s="625"/>
      <c r="E82" s="628"/>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94">
        <f>SUM(E82:AC82)</f>
        <v>0</v>
      </c>
      <c r="AE82" s="701">
        <f>AD82*D82</f>
        <v>0</v>
      </c>
      <c r="AF82" s="702" t="str">
        <f>IF(AD82&lt;0,"buy","sell")</f>
        <v>sell</v>
      </c>
    </row>
    <row r="83" spans="1:32" s="614" customFormat="1" ht="12.75" customHeight="1" x14ac:dyDescent="0.2">
      <c r="A83" s="622"/>
      <c r="B83" s="624"/>
      <c r="C83" s="624"/>
      <c r="D83" s="626"/>
      <c r="E83" s="628"/>
      <c r="F83" s="482"/>
      <c r="G83" s="482"/>
      <c r="H83" s="482"/>
      <c r="I83" s="482"/>
      <c r="J83" s="482"/>
      <c r="K83" s="482"/>
      <c r="L83" s="482"/>
      <c r="M83" s="482"/>
      <c r="N83" s="482"/>
      <c r="O83" s="482"/>
      <c r="P83" s="482"/>
      <c r="Q83" s="482"/>
      <c r="R83" s="482"/>
      <c r="S83" s="482"/>
      <c r="T83" s="482"/>
      <c r="U83" s="482"/>
      <c r="V83" s="482"/>
      <c r="W83" s="482"/>
      <c r="X83" s="482"/>
      <c r="Y83" s="482"/>
      <c r="Z83" s="482"/>
      <c r="AA83" s="482"/>
      <c r="AB83" s="482"/>
      <c r="AC83" s="482"/>
      <c r="AD83" s="594"/>
      <c r="AE83" s="701"/>
      <c r="AF83" s="702"/>
    </row>
    <row r="84" spans="1:32" s="356" customFormat="1" ht="12.75" customHeight="1" x14ac:dyDescent="0.2">
      <c r="A84" s="623"/>
      <c r="B84" s="629"/>
      <c r="C84" s="629"/>
      <c r="D84" s="627"/>
      <c r="E84" s="619"/>
      <c r="F84" s="709"/>
      <c r="G84" s="709"/>
      <c r="H84" s="709"/>
      <c r="I84" s="709"/>
      <c r="J84" s="709"/>
      <c r="K84" s="709"/>
      <c r="L84" s="709"/>
      <c r="M84" s="709"/>
      <c r="N84" s="709"/>
      <c r="O84" s="709"/>
      <c r="P84" s="709"/>
      <c r="Q84" s="709"/>
      <c r="R84" s="709"/>
      <c r="S84" s="709"/>
      <c r="T84" s="709"/>
      <c r="U84" s="709"/>
      <c r="V84" s="709"/>
      <c r="W84" s="709"/>
      <c r="X84" s="709"/>
      <c r="Y84" s="709"/>
      <c r="Z84" s="709"/>
      <c r="AA84" s="709"/>
      <c r="AB84" s="709"/>
      <c r="AC84" s="709"/>
      <c r="AD84" s="594">
        <f t="shared" ref="AD84:AD92" si="12">SUM(E84:AC84)</f>
        <v>0</v>
      </c>
      <c r="AE84" s="701">
        <f t="shared" ref="AE84:AE96" si="13">AD84*D84</f>
        <v>0</v>
      </c>
      <c r="AF84" s="702" t="str">
        <f t="shared" ref="AF84:AF96" si="14">IF(AD84&lt;0,"buy","sell")</f>
        <v>sell</v>
      </c>
    </row>
    <row r="85" spans="1:32" s="356" customFormat="1" ht="12.75" customHeight="1" x14ac:dyDescent="0.2">
      <c r="A85" s="623"/>
      <c r="B85" s="629"/>
      <c r="C85" s="629"/>
      <c r="D85" s="627"/>
      <c r="E85" s="619"/>
      <c r="F85" s="709"/>
      <c r="G85" s="709"/>
      <c r="H85" s="709"/>
      <c r="I85" s="709"/>
      <c r="J85" s="709"/>
      <c r="K85" s="709"/>
      <c r="L85" s="709"/>
      <c r="M85" s="709"/>
      <c r="N85" s="709"/>
      <c r="O85" s="709"/>
      <c r="P85" s="709"/>
      <c r="Q85" s="709"/>
      <c r="R85" s="709"/>
      <c r="S85" s="709"/>
      <c r="T85" s="709"/>
      <c r="U85" s="709"/>
      <c r="V85" s="709"/>
      <c r="W85" s="709"/>
      <c r="X85" s="709"/>
      <c r="Y85" s="709"/>
      <c r="Z85" s="709"/>
      <c r="AA85" s="709"/>
      <c r="AB85" s="709"/>
      <c r="AC85" s="709"/>
      <c r="AD85" s="594">
        <f>SUM(E85:AC85)</f>
        <v>0</v>
      </c>
      <c r="AE85" s="701">
        <f>AD85*D85</f>
        <v>0</v>
      </c>
      <c r="AF85" s="702" t="str">
        <f>IF(AD85&lt;0,"buy","sell")</f>
        <v>sell</v>
      </c>
    </row>
    <row r="86" spans="1:32" s="356" customFormat="1" ht="12.75" customHeight="1" x14ac:dyDescent="0.2">
      <c r="A86" s="623" t="s">
        <v>224</v>
      </c>
      <c r="B86" s="629" t="s">
        <v>374</v>
      </c>
      <c r="C86" s="629" t="s">
        <v>278</v>
      </c>
      <c r="D86" s="627">
        <v>5</v>
      </c>
      <c r="E86" s="619"/>
      <c r="F86" s="709"/>
      <c r="G86" s="709">
        <v>50</v>
      </c>
      <c r="H86" s="709">
        <v>50</v>
      </c>
      <c r="I86" s="709">
        <v>50</v>
      </c>
      <c r="J86" s="709">
        <v>50</v>
      </c>
      <c r="K86" s="709">
        <v>50</v>
      </c>
      <c r="L86" s="709">
        <v>50</v>
      </c>
      <c r="M86" s="709">
        <v>25</v>
      </c>
      <c r="N86" s="709">
        <v>50</v>
      </c>
      <c r="O86" s="709">
        <v>25</v>
      </c>
      <c r="P86" s="709"/>
      <c r="Q86" s="709"/>
      <c r="R86" s="709"/>
      <c r="S86" s="709"/>
      <c r="T86" s="709"/>
      <c r="U86" s="709"/>
      <c r="V86" s="709"/>
      <c r="W86" s="709"/>
      <c r="X86" s="709"/>
      <c r="Y86" s="709"/>
      <c r="Z86" s="709"/>
      <c r="AA86" s="709"/>
      <c r="AB86" s="709"/>
      <c r="AC86" s="709"/>
      <c r="AD86" s="594">
        <f t="shared" si="12"/>
        <v>400</v>
      </c>
      <c r="AE86" s="701">
        <f t="shared" si="13"/>
        <v>2000</v>
      </c>
      <c r="AF86" s="702" t="str">
        <f t="shared" si="14"/>
        <v>sell</v>
      </c>
    </row>
    <row r="87" spans="1:32" s="356" customFormat="1" ht="12.75" customHeight="1" x14ac:dyDescent="0.2">
      <c r="A87" s="623" t="s">
        <v>224</v>
      </c>
      <c r="B87" s="629" t="s">
        <v>378</v>
      </c>
      <c r="C87" s="629" t="s">
        <v>278</v>
      </c>
      <c r="D87" s="627">
        <v>4</v>
      </c>
      <c r="E87" s="619"/>
      <c r="F87" s="709"/>
      <c r="G87" s="709"/>
      <c r="H87" s="709"/>
      <c r="I87" s="709"/>
      <c r="J87" s="709"/>
      <c r="K87" s="709"/>
      <c r="L87" s="709"/>
      <c r="M87" s="709"/>
      <c r="N87" s="709"/>
      <c r="O87" s="709"/>
      <c r="P87" s="709"/>
      <c r="Q87" s="709"/>
      <c r="R87" s="709"/>
      <c r="S87" s="709"/>
      <c r="T87" s="709"/>
      <c r="U87" s="709"/>
      <c r="V87" s="709"/>
      <c r="W87" s="709"/>
      <c r="X87" s="709"/>
      <c r="Y87" s="709"/>
      <c r="Z87" s="709"/>
      <c r="AA87" s="709"/>
      <c r="AB87" s="709">
        <v>25</v>
      </c>
      <c r="AC87" s="709"/>
      <c r="AD87" s="594">
        <f>SUM(E87:AC87)</f>
        <v>25</v>
      </c>
      <c r="AE87" s="701">
        <f t="shared" si="13"/>
        <v>100</v>
      </c>
      <c r="AF87" s="702" t="str">
        <f t="shared" si="14"/>
        <v>sell</v>
      </c>
    </row>
    <row r="88" spans="1:32" s="356" customFormat="1" ht="9.75" customHeight="1" x14ac:dyDescent="0.2">
      <c r="A88" s="623" t="s">
        <v>366</v>
      </c>
      <c r="B88" s="629" t="s">
        <v>378</v>
      </c>
      <c r="C88" s="629" t="s">
        <v>278</v>
      </c>
      <c r="D88" s="627">
        <v>11.75</v>
      </c>
      <c r="E88" s="619"/>
      <c r="F88" s="709">
        <v>50</v>
      </c>
      <c r="G88" s="709"/>
      <c r="H88" s="709"/>
      <c r="I88" s="709"/>
      <c r="J88" s="709"/>
      <c r="K88" s="709"/>
      <c r="L88" s="709"/>
      <c r="M88" s="709"/>
      <c r="N88" s="709"/>
      <c r="O88" s="709"/>
      <c r="P88" s="709"/>
      <c r="Q88" s="709"/>
      <c r="R88" s="709"/>
      <c r="S88" s="709"/>
      <c r="T88" s="709"/>
      <c r="U88" s="709"/>
      <c r="V88" s="709"/>
      <c r="W88" s="709"/>
      <c r="X88" s="709"/>
      <c r="Y88" s="709"/>
      <c r="Z88" s="709"/>
      <c r="AA88" s="709"/>
      <c r="AB88" s="709"/>
      <c r="AC88" s="709"/>
      <c r="AD88" s="594">
        <f t="shared" si="12"/>
        <v>50</v>
      </c>
      <c r="AE88" s="701">
        <f t="shared" si="13"/>
        <v>587.5</v>
      </c>
      <c r="AF88" s="702" t="str">
        <f t="shared" si="14"/>
        <v>sell</v>
      </c>
    </row>
    <row r="89" spans="1:32" s="356" customFormat="1" ht="12.75" customHeight="1" x14ac:dyDescent="0.2">
      <c r="A89" s="623" t="s">
        <v>373</v>
      </c>
      <c r="B89" s="629" t="s">
        <v>374</v>
      </c>
      <c r="C89" s="629" t="s">
        <v>278</v>
      </c>
      <c r="D89" s="627">
        <v>15</v>
      </c>
      <c r="E89" s="619"/>
      <c r="F89" s="709"/>
      <c r="G89" s="709"/>
      <c r="H89" s="709"/>
      <c r="I89" s="709"/>
      <c r="J89" s="709"/>
      <c r="K89" s="709"/>
      <c r="L89" s="709"/>
      <c r="M89" s="709">
        <v>75</v>
      </c>
      <c r="N89" s="709"/>
      <c r="O89" s="709"/>
      <c r="P89" s="709"/>
      <c r="Q89" s="709"/>
      <c r="R89" s="709"/>
      <c r="S89" s="709"/>
      <c r="T89" s="709"/>
      <c r="U89" s="709"/>
      <c r="V89" s="709"/>
      <c r="W89" s="709"/>
      <c r="X89" s="709"/>
      <c r="Y89" s="709"/>
      <c r="Z89" s="709"/>
      <c r="AA89" s="709"/>
      <c r="AB89" s="709"/>
      <c r="AC89" s="709"/>
      <c r="AD89" s="594">
        <f t="shared" si="12"/>
        <v>75</v>
      </c>
      <c r="AE89" s="701">
        <f t="shared" si="13"/>
        <v>1125</v>
      </c>
      <c r="AF89" s="702" t="str">
        <f t="shared" si="14"/>
        <v>sell</v>
      </c>
    </row>
    <row r="90" spans="1:32" s="356" customFormat="1" ht="12.75" customHeight="1" x14ac:dyDescent="0.2">
      <c r="A90" s="623"/>
      <c r="B90" s="629"/>
      <c r="C90" s="629"/>
      <c r="D90" s="627"/>
      <c r="E90" s="619"/>
      <c r="F90" s="709"/>
      <c r="G90" s="709"/>
      <c r="H90" s="709"/>
      <c r="I90" s="709"/>
      <c r="J90" s="709"/>
      <c r="K90" s="709"/>
      <c r="L90" s="709"/>
      <c r="M90" s="709"/>
      <c r="N90" s="709"/>
      <c r="O90" s="709"/>
      <c r="P90" s="709"/>
      <c r="Q90" s="709"/>
      <c r="R90" s="709"/>
      <c r="S90" s="709"/>
      <c r="T90" s="709"/>
      <c r="U90" s="709"/>
      <c r="V90" s="709"/>
      <c r="W90" s="709"/>
      <c r="X90" s="709"/>
      <c r="Y90" s="709"/>
      <c r="Z90" s="709"/>
      <c r="AA90" s="709"/>
      <c r="AB90" s="709"/>
      <c r="AC90" s="709"/>
      <c r="AD90" s="594">
        <f t="shared" si="12"/>
        <v>0</v>
      </c>
      <c r="AE90" s="701">
        <f t="shared" si="13"/>
        <v>0</v>
      </c>
      <c r="AF90" s="702" t="str">
        <f t="shared" si="14"/>
        <v>sell</v>
      </c>
    </row>
    <row r="91" spans="1:32" s="356" customFormat="1" ht="12.75" customHeight="1" x14ac:dyDescent="0.2">
      <c r="A91" s="623"/>
      <c r="B91" s="629"/>
      <c r="C91" s="629"/>
      <c r="D91" s="627"/>
      <c r="E91" s="619"/>
      <c r="F91" s="709"/>
      <c r="G91" s="709"/>
      <c r="H91" s="709"/>
      <c r="I91" s="709"/>
      <c r="J91" s="709"/>
      <c r="K91" s="709"/>
      <c r="L91" s="709"/>
      <c r="M91" s="709"/>
      <c r="N91" s="709"/>
      <c r="O91" s="709"/>
      <c r="P91" s="709"/>
      <c r="Q91" s="709"/>
      <c r="R91" s="709"/>
      <c r="S91" s="709"/>
      <c r="T91" s="709"/>
      <c r="U91" s="709"/>
      <c r="V91" s="709"/>
      <c r="W91" s="709"/>
      <c r="X91" s="709"/>
      <c r="Y91" s="709"/>
      <c r="Z91" s="709"/>
      <c r="AA91" s="709"/>
      <c r="AB91" s="709"/>
      <c r="AC91" s="709"/>
      <c r="AD91" s="594">
        <f t="shared" si="12"/>
        <v>0</v>
      </c>
      <c r="AE91" s="701">
        <f t="shared" si="13"/>
        <v>0</v>
      </c>
      <c r="AF91" s="702" t="str">
        <f t="shared" si="14"/>
        <v>sell</v>
      </c>
    </row>
    <row r="92" spans="1:32" s="356" customFormat="1" ht="12.75" customHeight="1" x14ac:dyDescent="0.2">
      <c r="A92" s="623"/>
      <c r="B92" s="629"/>
      <c r="C92" s="629"/>
      <c r="D92" s="627"/>
      <c r="E92" s="619"/>
      <c r="F92" s="709"/>
      <c r="G92" s="709"/>
      <c r="H92" s="709"/>
      <c r="I92" s="709"/>
      <c r="J92" s="709"/>
      <c r="K92" s="709"/>
      <c r="L92" s="709"/>
      <c r="M92" s="709"/>
      <c r="N92" s="709"/>
      <c r="O92" s="709"/>
      <c r="P92" s="709"/>
      <c r="Q92" s="709"/>
      <c r="R92" s="709"/>
      <c r="S92" s="709"/>
      <c r="T92" s="709"/>
      <c r="U92" s="709"/>
      <c r="V92" s="709"/>
      <c r="W92" s="709"/>
      <c r="X92" s="709"/>
      <c r="Y92" s="709"/>
      <c r="Z92" s="709"/>
      <c r="AA92" s="709"/>
      <c r="AB92" s="709"/>
      <c r="AC92" s="709"/>
      <c r="AD92" s="594">
        <f t="shared" si="12"/>
        <v>0</v>
      </c>
      <c r="AE92" s="701">
        <f t="shared" si="13"/>
        <v>0</v>
      </c>
      <c r="AF92" s="702" t="str">
        <f t="shared" si="14"/>
        <v>sell</v>
      </c>
    </row>
    <row r="93" spans="1:32" s="356" customFormat="1" ht="12.75" customHeight="1" x14ac:dyDescent="0.2">
      <c r="A93" s="622"/>
      <c r="B93" s="624"/>
      <c r="C93" s="624"/>
      <c r="D93" s="707"/>
      <c r="E93" s="706"/>
      <c r="F93" s="482"/>
      <c r="G93" s="482"/>
      <c r="H93" s="482"/>
      <c r="I93" s="482"/>
      <c r="J93" s="482"/>
      <c r="K93" s="482"/>
      <c r="L93" s="482"/>
      <c r="M93" s="482"/>
      <c r="N93" s="482"/>
      <c r="O93" s="482"/>
      <c r="P93" s="482"/>
      <c r="Q93" s="482"/>
      <c r="R93" s="482"/>
      <c r="S93" s="482"/>
      <c r="T93" s="482"/>
      <c r="U93" s="482"/>
      <c r="V93" s="482"/>
      <c r="W93" s="482"/>
      <c r="X93" s="482"/>
      <c r="Y93" s="482"/>
      <c r="Z93" s="482"/>
      <c r="AA93" s="482"/>
      <c r="AB93" s="482"/>
      <c r="AC93" s="482"/>
      <c r="AD93" s="594">
        <f t="shared" si="3"/>
        <v>0</v>
      </c>
      <c r="AE93" s="701">
        <f t="shared" si="13"/>
        <v>0</v>
      </c>
      <c r="AF93" s="702" t="str">
        <f t="shared" si="14"/>
        <v>sell</v>
      </c>
    </row>
    <row r="94" spans="1:32" s="356" customFormat="1" ht="12.75" customHeight="1" x14ac:dyDescent="0.2">
      <c r="A94" s="622" t="s">
        <v>224</v>
      </c>
      <c r="B94" s="621" t="s">
        <v>240</v>
      </c>
      <c r="C94" s="621" t="s">
        <v>151</v>
      </c>
      <c r="D94" s="707">
        <v>10</v>
      </c>
      <c r="E94" s="706"/>
      <c r="F94" s="718">
        <v>-50</v>
      </c>
      <c r="G94" s="482"/>
      <c r="H94" s="482"/>
      <c r="I94" s="482"/>
      <c r="J94" s="482"/>
      <c r="K94" s="482"/>
      <c r="L94" s="482"/>
      <c r="M94" s="482"/>
      <c r="N94" s="482"/>
      <c r="O94" s="482"/>
      <c r="P94" s="482"/>
      <c r="Q94" s="482"/>
      <c r="R94" s="482"/>
      <c r="S94" s="482"/>
      <c r="T94" s="482"/>
      <c r="U94" s="482"/>
      <c r="V94" s="482"/>
      <c r="W94" s="482"/>
      <c r="X94" s="482"/>
      <c r="Y94" s="482"/>
      <c r="Z94" s="482"/>
      <c r="AA94" s="482"/>
      <c r="AB94" s="482"/>
      <c r="AC94" s="712"/>
      <c r="AD94" s="594">
        <f>SUM(F94:AC94)</f>
        <v>-50</v>
      </c>
      <c r="AE94" s="701">
        <f t="shared" si="13"/>
        <v>-500</v>
      </c>
      <c r="AF94" s="702" t="str">
        <f t="shared" si="14"/>
        <v>buy</v>
      </c>
    </row>
    <row r="95" spans="1:32" s="356" customFormat="1" ht="12.75" customHeight="1" x14ac:dyDescent="0.2">
      <c r="A95" s="622" t="s">
        <v>63</v>
      </c>
      <c r="B95" s="621" t="s">
        <v>240</v>
      </c>
      <c r="C95" s="621" t="s">
        <v>278</v>
      </c>
      <c r="D95" s="707">
        <v>17.5</v>
      </c>
      <c r="E95" s="706"/>
      <c r="F95" s="717">
        <v>-25</v>
      </c>
      <c r="G95" s="717">
        <v>-25</v>
      </c>
      <c r="H95" s="717">
        <v>-25</v>
      </c>
      <c r="I95" s="717">
        <v>-25</v>
      </c>
      <c r="J95" s="717">
        <v>-25</v>
      </c>
      <c r="K95" s="717">
        <v>-25</v>
      </c>
      <c r="L95" s="717">
        <v>-25</v>
      </c>
      <c r="M95" s="482"/>
      <c r="N95" s="482"/>
      <c r="O95" s="482"/>
      <c r="P95" s="482"/>
      <c r="Q95" s="482"/>
      <c r="R95" s="482"/>
      <c r="S95" s="482"/>
      <c r="T95" s="482"/>
      <c r="U95" s="482"/>
      <c r="V95" s="482"/>
      <c r="W95" s="482"/>
      <c r="X95" s="482"/>
      <c r="Y95" s="482"/>
      <c r="Z95" s="482"/>
      <c r="AA95" s="482"/>
      <c r="AB95" s="482"/>
      <c r="AC95" s="482">
        <v>-25</v>
      </c>
      <c r="AD95" s="594">
        <f>SUM(F95:AC95)</f>
        <v>-200</v>
      </c>
      <c r="AE95" s="701">
        <f t="shared" si="13"/>
        <v>-3500</v>
      </c>
      <c r="AF95" s="702" t="str">
        <f t="shared" si="14"/>
        <v>buy</v>
      </c>
    </row>
    <row r="96" spans="1:32" s="356" customFormat="1" ht="12.75" customHeight="1" x14ac:dyDescent="0.2">
      <c r="A96" s="622"/>
      <c r="B96" s="624"/>
      <c r="C96" s="624"/>
      <c r="D96" s="707"/>
      <c r="E96" s="706"/>
      <c r="F96" s="708"/>
      <c r="G96" s="482"/>
      <c r="H96" s="482"/>
      <c r="I96" s="482"/>
      <c r="J96" s="482"/>
      <c r="K96" s="482"/>
      <c r="L96" s="482"/>
      <c r="M96" s="482"/>
      <c r="N96" s="482"/>
      <c r="O96" s="482"/>
      <c r="P96" s="482"/>
      <c r="Q96" s="482"/>
      <c r="R96" s="482"/>
      <c r="S96" s="482"/>
      <c r="T96" s="482"/>
      <c r="U96" s="482"/>
      <c r="V96" s="482"/>
      <c r="W96" s="482"/>
      <c r="X96" s="482"/>
      <c r="Y96" s="482"/>
      <c r="Z96" s="482"/>
      <c r="AA96" s="482"/>
      <c r="AB96" s="482"/>
      <c r="AC96" s="482"/>
      <c r="AD96" s="594">
        <f>SUM(F96:AC96)</f>
        <v>0</v>
      </c>
      <c r="AE96" s="701">
        <f t="shared" si="13"/>
        <v>0</v>
      </c>
      <c r="AF96" s="702" t="str">
        <f t="shared" si="14"/>
        <v>sell</v>
      </c>
    </row>
    <row r="97" spans="1:33" s="356" customFormat="1" ht="14.25" customHeight="1" x14ac:dyDescent="0.2">
      <c r="A97" s="582"/>
      <c r="B97" s="550"/>
      <c r="C97" s="550"/>
      <c r="D97" s="550"/>
      <c r="E97" s="615"/>
      <c r="F97" s="550"/>
      <c r="G97" s="550"/>
      <c r="H97" s="550"/>
      <c r="I97" s="550"/>
      <c r="J97" s="550"/>
      <c r="K97" s="550"/>
      <c r="L97" s="550"/>
      <c r="M97" s="550"/>
      <c r="N97" s="550"/>
      <c r="O97" s="550"/>
      <c r="P97" s="550"/>
      <c r="Q97" s="550"/>
      <c r="R97" s="550"/>
      <c r="S97" s="550"/>
      <c r="T97" s="550"/>
      <c r="U97" s="550"/>
      <c r="V97" s="550"/>
      <c r="W97" s="550"/>
      <c r="X97" s="550"/>
      <c r="Y97" s="550"/>
      <c r="Z97" s="550"/>
      <c r="AA97" s="550"/>
      <c r="AB97" s="550"/>
      <c r="AC97" s="550"/>
      <c r="AD97" s="550"/>
      <c r="AE97" s="550"/>
      <c r="AF97" s="550"/>
      <c r="AG97" s="473"/>
    </row>
    <row r="98" spans="1:33" s="356" customFormat="1" x14ac:dyDescent="0.2">
      <c r="A98" s="633"/>
      <c r="B98" s="575"/>
      <c r="C98" s="575"/>
      <c r="D98" s="634"/>
      <c r="E98" s="576"/>
      <c r="F98" s="577"/>
      <c r="G98" s="578"/>
      <c r="H98" s="578"/>
      <c r="I98" s="578"/>
      <c r="J98" s="578"/>
      <c r="K98" s="578"/>
      <c r="L98" s="578"/>
      <c r="M98" s="578"/>
      <c r="N98" s="578"/>
      <c r="O98" s="578"/>
      <c r="P98" s="578"/>
      <c r="Q98" s="578"/>
      <c r="R98" s="578"/>
      <c r="S98" s="578"/>
      <c r="T98" s="578"/>
      <c r="U98" s="578"/>
      <c r="V98" s="578"/>
      <c r="W98" s="578"/>
      <c r="X98" s="578"/>
      <c r="Y98" s="578"/>
      <c r="Z98" s="578"/>
      <c r="AA98" s="578"/>
      <c r="AB98" s="578"/>
      <c r="AC98" s="578"/>
      <c r="AD98" s="594">
        <f>SUM(E98:AC98)</f>
        <v>0</v>
      </c>
      <c r="AE98" s="701">
        <f>AD98*D98</f>
        <v>0</v>
      </c>
      <c r="AF98" s="702" t="str">
        <f>IF(AD98&lt;0,"buy","sell")</f>
        <v>sell</v>
      </c>
    </row>
    <row r="99" spans="1:33" s="356" customFormat="1" x14ac:dyDescent="0.2">
      <c r="A99" s="633"/>
      <c r="B99" s="575"/>
      <c r="C99" s="575"/>
      <c r="D99" s="634"/>
      <c r="E99" s="576"/>
      <c r="F99" s="577"/>
      <c r="G99" s="578"/>
      <c r="H99" s="578"/>
      <c r="I99" s="578"/>
      <c r="J99" s="578"/>
      <c r="K99" s="578"/>
      <c r="L99" s="578"/>
      <c r="M99" s="578"/>
      <c r="N99" s="578"/>
      <c r="O99" s="578"/>
      <c r="P99" s="578"/>
      <c r="Q99" s="578"/>
      <c r="R99" s="578"/>
      <c r="S99" s="578"/>
      <c r="T99" s="578"/>
      <c r="U99" s="578"/>
      <c r="V99" s="578"/>
      <c r="W99" s="578"/>
      <c r="X99" s="578"/>
      <c r="Y99" s="578"/>
      <c r="Z99" s="578"/>
      <c r="AA99" s="578"/>
      <c r="AB99" s="578"/>
      <c r="AC99" s="578"/>
      <c r="AD99" s="594">
        <f>SUM(AA99:AC99)</f>
        <v>0</v>
      </c>
      <c r="AE99" s="701">
        <f>AD99*D99</f>
        <v>0</v>
      </c>
      <c r="AF99" s="702" t="str">
        <f>IF(AD99&lt;0,"buy","sell")</f>
        <v>sell</v>
      </c>
    </row>
    <row r="100" spans="1:33" s="356" customFormat="1" ht="13.5" thickBot="1" x14ac:dyDescent="0.25">
      <c r="A100" s="484"/>
      <c r="B100" s="485"/>
      <c r="C100" s="485"/>
      <c r="D100" s="486"/>
      <c r="E100" s="486"/>
      <c r="F100" s="487"/>
      <c r="G100" s="487"/>
      <c r="H100" s="487"/>
      <c r="I100" s="487"/>
      <c r="J100" s="487"/>
      <c r="K100" s="487"/>
      <c r="L100" s="487"/>
      <c r="M100" s="487"/>
      <c r="N100" s="487"/>
      <c r="O100" s="487"/>
      <c r="P100" s="487"/>
      <c r="Q100" s="487"/>
      <c r="R100" s="487"/>
      <c r="S100" s="487"/>
      <c r="T100" s="487"/>
      <c r="U100" s="487"/>
      <c r="V100" s="487"/>
      <c r="W100" s="487"/>
      <c r="X100" s="487"/>
      <c r="Y100" s="487"/>
      <c r="Z100" s="487"/>
      <c r="AA100" s="487"/>
      <c r="AB100" s="487"/>
      <c r="AC100" s="488"/>
      <c r="AD100" s="594">
        <f>SUM(F106:AC106)</f>
        <v>0</v>
      </c>
      <c r="AE100" s="701">
        <f>AD100*D100</f>
        <v>0</v>
      </c>
      <c r="AF100" s="702" t="str">
        <f>IF(AD100&lt;0,"buy","sell")</f>
        <v>sell</v>
      </c>
    </row>
    <row r="101" spans="1:33" s="356" customFormat="1" x14ac:dyDescent="0.2">
      <c r="A101" s="556"/>
      <c r="B101" s="672"/>
      <c r="C101" s="672"/>
      <c r="D101" s="557"/>
      <c r="E101" s="557"/>
      <c r="F101" s="558"/>
      <c r="G101" s="559"/>
      <c r="H101" s="558"/>
      <c r="I101" s="558"/>
      <c r="J101" s="558"/>
      <c r="K101" s="558"/>
      <c r="L101" s="558"/>
      <c r="M101" s="558"/>
      <c r="N101" s="558"/>
      <c r="O101" s="558"/>
      <c r="P101" s="558"/>
      <c r="Q101" s="558"/>
      <c r="R101" s="558"/>
      <c r="S101" s="558"/>
      <c r="T101" s="558"/>
      <c r="U101" s="559"/>
      <c r="V101" s="558"/>
      <c r="W101" s="558"/>
      <c r="X101" s="558"/>
      <c r="Y101" s="558"/>
      <c r="Z101" s="558"/>
      <c r="AA101" s="558"/>
      <c r="AB101" s="558"/>
      <c r="AC101" s="560"/>
      <c r="AD101" s="594">
        <f>SUM(E101:AC101)</f>
        <v>0</v>
      </c>
      <c r="AE101" s="701">
        <f>AD101*D101</f>
        <v>0</v>
      </c>
      <c r="AF101" s="702" t="str">
        <f>IF(AD101&lt;0,"buy","sell")</f>
        <v>sell</v>
      </c>
    </row>
    <row r="102" spans="1:33" s="356" customFormat="1" x14ac:dyDescent="0.2">
      <c r="A102" s="556"/>
      <c r="B102" s="564"/>
      <c r="C102" s="564"/>
      <c r="D102" s="557"/>
      <c r="E102" s="557"/>
      <c r="F102" s="558"/>
      <c r="G102" s="559"/>
      <c r="H102" s="558"/>
      <c r="I102" s="558"/>
      <c r="J102" s="558"/>
      <c r="K102" s="558"/>
      <c r="L102" s="558"/>
      <c r="M102" s="558"/>
      <c r="N102" s="558"/>
      <c r="O102" s="558"/>
      <c r="P102" s="558"/>
      <c r="Q102" s="558"/>
      <c r="R102" s="558"/>
      <c r="S102" s="558"/>
      <c r="T102" s="558"/>
      <c r="U102" s="561"/>
      <c r="V102" s="558"/>
      <c r="W102" s="558"/>
      <c r="X102" s="558"/>
      <c r="Y102" s="558"/>
      <c r="Z102" s="558"/>
      <c r="AA102" s="558"/>
      <c r="AB102" s="558"/>
      <c r="AC102" s="560"/>
      <c r="AD102" s="583">
        <f>SUM(F107:AC107)</f>
        <v>0</v>
      </c>
      <c r="AE102" s="584">
        <f>AD102*D102</f>
        <v>0</v>
      </c>
      <c r="AF102" s="538" t="str">
        <f>IF(AD102&lt;0,"buy","sell")</f>
        <v>sell</v>
      </c>
    </row>
    <row r="103" spans="1:33" s="356" customFormat="1" x14ac:dyDescent="0.2">
      <c r="A103" s="562" t="s">
        <v>206</v>
      </c>
      <c r="B103" s="492"/>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c r="AE103" s="492"/>
      <c r="AF103" s="492"/>
    </row>
    <row r="104" spans="1:33" s="356" customFormat="1" x14ac:dyDescent="0.2">
      <c r="B104" s="364"/>
      <c r="C104" s="364"/>
      <c r="D104" s="365"/>
      <c r="E104" s="365"/>
      <c r="F104" s="364"/>
      <c r="G104" s="366"/>
      <c r="H104" s="366"/>
      <c r="I104" s="366"/>
      <c r="J104" s="366"/>
      <c r="K104" s="366"/>
      <c r="L104" s="366"/>
      <c r="M104" s="366"/>
      <c r="N104" s="366"/>
      <c r="O104" s="366"/>
      <c r="P104" s="366"/>
      <c r="Q104" s="366"/>
      <c r="R104" s="366"/>
      <c r="S104" s="366"/>
      <c r="T104" s="366"/>
      <c r="U104" s="366"/>
      <c r="V104" s="366"/>
      <c r="W104" s="366"/>
      <c r="X104" s="366"/>
      <c r="Y104" s="366"/>
      <c r="Z104" s="446"/>
      <c r="AA104" s="446"/>
      <c r="AB104" s="446"/>
      <c r="AC104" s="541"/>
      <c r="AD104" s="464"/>
      <c r="AE104" s="465"/>
      <c r="AF104" s="446"/>
    </row>
    <row r="105" spans="1:33" s="356" customFormat="1" ht="18" x14ac:dyDescent="0.25">
      <c r="A105" s="431" t="s">
        <v>241</v>
      </c>
      <c r="B105" s="432"/>
      <c r="C105" s="551"/>
      <c r="D105" s="433"/>
      <c r="E105" s="433"/>
      <c r="F105" s="434"/>
      <c r="G105" s="435"/>
      <c r="H105" s="370"/>
      <c r="I105" s="370"/>
      <c r="J105" s="370"/>
      <c r="K105" s="371"/>
      <c r="L105" s="370"/>
      <c r="M105" s="370"/>
      <c r="N105" s="370"/>
      <c r="O105" s="370"/>
      <c r="P105" s="370"/>
      <c r="Q105" s="370"/>
      <c r="R105" s="370"/>
      <c r="S105" s="370" t="s">
        <v>15</v>
      </c>
      <c r="T105" s="370"/>
      <c r="U105" s="370"/>
      <c r="V105" s="370"/>
      <c r="W105" s="370"/>
      <c r="X105" s="370"/>
      <c r="Y105" s="370"/>
      <c r="Z105" s="372"/>
      <c r="AA105" s="372"/>
      <c r="AB105" s="372"/>
      <c r="AC105" s="542"/>
      <c r="AD105" s="464"/>
      <c r="AE105" s="465"/>
      <c r="AF105" s="372"/>
    </row>
    <row r="106" spans="1:33" s="356" customFormat="1" ht="13.5" thickBot="1" x14ac:dyDescent="0.25">
      <c r="A106" s="436"/>
      <c r="B106" s="437"/>
      <c r="C106" s="437"/>
      <c r="D106" s="433"/>
      <c r="E106" s="433"/>
      <c r="F106" s="435"/>
      <c r="G106" s="435"/>
      <c r="H106" s="370"/>
      <c r="I106" s="370"/>
      <c r="J106" s="370"/>
      <c r="K106" s="373"/>
      <c r="L106" s="373"/>
      <c r="M106" s="370"/>
      <c r="N106" s="370"/>
      <c r="O106" s="370"/>
      <c r="P106" s="370"/>
      <c r="Q106" s="370"/>
      <c r="R106" s="370"/>
      <c r="S106" s="370"/>
      <c r="T106" s="370"/>
      <c r="U106" s="370"/>
      <c r="V106" s="370"/>
      <c r="W106" s="370"/>
      <c r="X106" s="370"/>
      <c r="Y106" s="370"/>
      <c r="Z106" s="372"/>
      <c r="AA106" s="372"/>
      <c r="AB106" s="372"/>
      <c r="AC106" s="542"/>
      <c r="AD106" s="464"/>
      <c r="AE106" s="465"/>
      <c r="AF106" s="372"/>
    </row>
    <row r="107" spans="1:33" s="356" customFormat="1" ht="18.75" thickBot="1" x14ac:dyDescent="0.3">
      <c r="A107" s="438" t="s">
        <v>7</v>
      </c>
      <c r="B107" s="439"/>
      <c r="C107" s="439" t="s">
        <v>265</v>
      </c>
      <c r="D107" s="440" t="s">
        <v>9</v>
      </c>
      <c r="E107" s="439"/>
      <c r="F107" s="442" t="s">
        <v>271</v>
      </c>
      <c r="G107" s="443"/>
      <c r="H107" s="370"/>
      <c r="I107" s="370"/>
      <c r="J107" s="370"/>
      <c r="K107" s="373"/>
      <c r="L107" s="371"/>
      <c r="M107" s="370"/>
      <c r="N107" s="370"/>
      <c r="O107" s="370"/>
      <c r="P107" s="370"/>
      <c r="Q107" s="370"/>
      <c r="R107" s="370"/>
      <c r="S107" s="370"/>
      <c r="T107" s="370"/>
      <c r="U107" s="370"/>
      <c r="V107" s="370"/>
      <c r="W107" s="370"/>
      <c r="X107" s="370"/>
      <c r="Y107" s="370"/>
      <c r="AA107" s="372"/>
      <c r="AB107" s="372"/>
      <c r="AC107" s="542"/>
      <c r="AD107" s="464"/>
      <c r="AE107" s="465"/>
      <c r="AF107" s="372"/>
    </row>
    <row r="108" spans="1:33" s="356" customFormat="1" ht="18" x14ac:dyDescent="0.25">
      <c r="A108" s="444" t="s">
        <v>243</v>
      </c>
      <c r="B108" s="445" t="s">
        <v>244</v>
      </c>
      <c r="C108" s="445"/>
      <c r="D108" s="580"/>
      <c r="E108" s="445"/>
      <c r="F108" s="441" t="s">
        <v>318</v>
      </c>
      <c r="G108" s="435" t="s">
        <v>319</v>
      </c>
      <c r="H108" s="370"/>
      <c r="I108" s="370"/>
      <c r="J108" s="370"/>
      <c r="K108" s="373"/>
      <c r="L108" s="371"/>
      <c r="M108" s="370"/>
      <c r="N108" s="370"/>
      <c r="O108" s="370"/>
      <c r="P108" s="370"/>
      <c r="Q108" s="370"/>
      <c r="R108" s="370"/>
      <c r="S108" s="370"/>
      <c r="T108" s="370"/>
      <c r="U108" s="370"/>
      <c r="V108" s="370"/>
      <c r="W108" s="370"/>
      <c r="X108" s="370"/>
      <c r="Y108" s="370"/>
      <c r="Z108" s="372" t="s">
        <v>207</v>
      </c>
      <c r="AA108" s="372"/>
      <c r="AB108" s="372"/>
      <c r="AC108" s="543"/>
      <c r="AD108" s="460"/>
      <c r="AE108" s="461"/>
      <c r="AF108" s="372"/>
    </row>
    <row r="109" spans="1:33" x14ac:dyDescent="0.2">
      <c r="A109" s="437">
        <v>24</v>
      </c>
      <c r="B109" s="437">
        <v>1</v>
      </c>
      <c r="C109" s="446">
        <v>1</v>
      </c>
      <c r="D109" s="585"/>
      <c r="E109" s="540"/>
      <c r="F109" s="592">
        <f>D109-0.25</f>
        <v>-0.25</v>
      </c>
      <c r="G109" s="563">
        <f>D109+0.56</f>
        <v>0.56000000000000005</v>
      </c>
      <c r="K109" s="373"/>
      <c r="M109" s="370"/>
      <c r="N109" s="370"/>
      <c r="Z109" s="372"/>
      <c r="AA109" s="544"/>
      <c r="AB109" s="544"/>
      <c r="AC109" s="543"/>
      <c r="AD109" s="402"/>
      <c r="AE109" s="402"/>
      <c r="AF109" s="544"/>
      <c r="AG109" s="356"/>
    </row>
    <row r="110" spans="1:33" s="356" customFormat="1" x14ac:dyDescent="0.2">
      <c r="A110" s="435">
        <v>1</v>
      </c>
      <c r="B110" s="435">
        <v>2</v>
      </c>
      <c r="C110" s="446">
        <v>1</v>
      </c>
      <c r="D110" s="585"/>
      <c r="E110" s="497"/>
      <c r="F110" s="592">
        <f t="shared" ref="F110:F133" si="15">D110-0.25</f>
        <v>-0.25</v>
      </c>
      <c r="G110" s="563">
        <f t="shared" ref="G110:G133" si="16">D110+0.56</f>
        <v>0.56000000000000005</v>
      </c>
      <c r="H110" s="370"/>
      <c r="I110" s="370"/>
      <c r="J110" s="370"/>
      <c r="K110" s="373"/>
      <c r="L110" s="370"/>
      <c r="M110" s="370"/>
      <c r="N110" s="370"/>
      <c r="O110" s="370"/>
      <c r="P110" s="370"/>
      <c r="Q110" s="370"/>
      <c r="R110" s="370"/>
      <c r="S110" s="370"/>
      <c r="T110" s="370"/>
      <c r="U110" s="370"/>
      <c r="V110" s="370"/>
      <c r="W110" s="370"/>
      <c r="X110" s="370"/>
      <c r="Y110" s="370"/>
      <c r="Z110" s="544" t="s">
        <v>266</v>
      </c>
      <c r="AA110" s="544"/>
      <c r="AB110" s="544"/>
      <c r="AC110" s="543"/>
      <c r="AD110" s="480">
        <f>SUM(AD20:AD93)</f>
        <v>2150</v>
      </c>
      <c r="AE110" s="480">
        <f>SUM(AE20:AE93)</f>
        <v>41222.5</v>
      </c>
      <c r="AF110" s="544"/>
    </row>
    <row r="111" spans="1:33" s="356" customFormat="1" x14ac:dyDescent="0.2">
      <c r="A111" s="437">
        <v>2</v>
      </c>
      <c r="B111" s="437">
        <v>3</v>
      </c>
      <c r="C111" s="446">
        <v>1</v>
      </c>
      <c r="D111" s="585"/>
      <c r="E111" s="497"/>
      <c r="F111" s="592">
        <f t="shared" si="15"/>
        <v>-0.25</v>
      </c>
      <c r="G111" s="563">
        <f t="shared" si="16"/>
        <v>0.56000000000000005</v>
      </c>
      <c r="H111" s="370"/>
      <c r="I111" s="370"/>
      <c r="J111" s="370"/>
      <c r="K111" s="373"/>
      <c r="L111" s="370"/>
      <c r="M111" s="370"/>
      <c r="N111" s="370"/>
      <c r="O111" s="370"/>
      <c r="P111" s="370"/>
      <c r="Q111" s="370"/>
      <c r="R111" s="370"/>
      <c r="S111" s="370"/>
      <c r="T111" s="370"/>
      <c r="U111" s="370"/>
      <c r="V111" s="370"/>
      <c r="W111" s="370"/>
      <c r="X111" s="370"/>
      <c r="Y111" s="370"/>
      <c r="Z111" s="544" t="s">
        <v>267</v>
      </c>
      <c r="AA111" s="544"/>
      <c r="AB111" s="544"/>
      <c r="AC111" s="545"/>
      <c r="AD111" s="480">
        <f>SUM(AD93:AD100)</f>
        <v>-250</v>
      </c>
      <c r="AE111" s="480">
        <f>SUM(AE93:AE100)</f>
        <v>-4000</v>
      </c>
      <c r="AF111" s="544"/>
    </row>
    <row r="112" spans="1:33" s="356" customFormat="1" x14ac:dyDescent="0.2">
      <c r="A112" s="435">
        <v>3</v>
      </c>
      <c r="B112" s="435">
        <v>4</v>
      </c>
      <c r="C112" s="446">
        <v>1</v>
      </c>
      <c r="D112" s="585"/>
      <c r="E112" s="497"/>
      <c r="F112" s="592">
        <f t="shared" si="15"/>
        <v>-0.25</v>
      </c>
      <c r="G112" s="563">
        <f t="shared" si="16"/>
        <v>0.56000000000000005</v>
      </c>
      <c r="H112" s="377"/>
      <c r="I112" s="377"/>
      <c r="J112" s="377"/>
      <c r="K112" s="378"/>
      <c r="L112" s="377"/>
      <c r="M112" s="370"/>
      <c r="N112" s="370"/>
      <c r="O112" s="377"/>
      <c r="P112" s="377"/>
      <c r="Q112" s="377"/>
      <c r="R112" s="377"/>
      <c r="S112" s="377"/>
      <c r="T112" s="377"/>
      <c r="U112" s="377"/>
      <c r="V112" s="377"/>
      <c r="W112" s="377"/>
      <c r="X112" s="377"/>
      <c r="Y112" s="377"/>
      <c r="Z112" s="384"/>
      <c r="AA112" s="384"/>
      <c r="AB112" s="384"/>
      <c r="AC112" s="473"/>
      <c r="AF112" s="384"/>
    </row>
    <row r="113" spans="1:33" s="356" customFormat="1" x14ac:dyDescent="0.2">
      <c r="A113" s="437">
        <v>4</v>
      </c>
      <c r="B113" s="437">
        <v>5</v>
      </c>
      <c r="C113" s="446">
        <v>1</v>
      </c>
      <c r="D113" s="585"/>
      <c r="E113" s="497"/>
      <c r="F113" s="592">
        <f t="shared" si="15"/>
        <v>-0.25</v>
      </c>
      <c r="G113" s="563">
        <f t="shared" si="16"/>
        <v>0.56000000000000005</v>
      </c>
      <c r="H113" s="377"/>
      <c r="O113" s="370"/>
      <c r="P113" s="370"/>
      <c r="Q113" s="381"/>
      <c r="R113" s="381"/>
      <c r="S113" s="381"/>
      <c r="T113" s="381"/>
      <c r="U113" s="381"/>
      <c r="V113" s="381"/>
      <c r="W113" s="381"/>
      <c r="X113" s="381"/>
      <c r="Y113" s="381"/>
      <c r="Z113" s="546" t="s">
        <v>279</v>
      </c>
      <c r="AA113" s="546"/>
      <c r="AB113" s="546"/>
      <c r="AC113" s="547"/>
      <c r="AD113" s="489"/>
      <c r="AE113" s="490"/>
      <c r="AF113" s="402"/>
    </row>
    <row r="114" spans="1:33" s="356" customFormat="1" x14ac:dyDescent="0.2">
      <c r="A114" s="435">
        <v>5</v>
      </c>
      <c r="B114" s="435">
        <v>6</v>
      </c>
      <c r="C114" s="446">
        <v>1</v>
      </c>
      <c r="D114" s="585"/>
      <c r="E114" s="497"/>
      <c r="F114" s="592">
        <f t="shared" si="15"/>
        <v>-0.25</v>
      </c>
      <c r="G114" s="563">
        <f t="shared" si="16"/>
        <v>0.56000000000000005</v>
      </c>
      <c r="H114" s="370"/>
      <c r="O114" s="370"/>
      <c r="P114" s="370"/>
      <c r="Q114" s="370"/>
      <c r="R114" s="370"/>
      <c r="S114" s="370"/>
      <c r="T114" s="370"/>
      <c r="U114" s="370"/>
      <c r="V114" s="370"/>
      <c r="W114" s="370"/>
      <c r="X114" s="370"/>
      <c r="Y114" s="370"/>
      <c r="Z114" s="546"/>
      <c r="AA114" s="546"/>
      <c r="AB114" s="546"/>
      <c r="AC114" s="547"/>
      <c r="AD114" s="489"/>
      <c r="AE114" s="490"/>
      <c r="AF114" s="402"/>
    </row>
    <row r="115" spans="1:33" s="356" customFormat="1" x14ac:dyDescent="0.2">
      <c r="A115" s="437">
        <v>6</v>
      </c>
      <c r="B115" s="437">
        <v>7</v>
      </c>
      <c r="C115" s="446">
        <v>1</v>
      </c>
      <c r="D115" s="585"/>
      <c r="E115" s="497"/>
      <c r="F115" s="592">
        <f t="shared" si="15"/>
        <v>-0.25</v>
      </c>
      <c r="G115" s="563">
        <f t="shared" si="16"/>
        <v>0.56000000000000005</v>
      </c>
      <c r="H115" s="382"/>
      <c r="O115" s="370"/>
      <c r="P115" s="370"/>
      <c r="Q115" s="382"/>
      <c r="R115" s="382"/>
      <c r="S115" s="382"/>
      <c r="T115" s="382"/>
      <c r="U115" s="382"/>
      <c r="V115" s="382"/>
      <c r="W115" s="382"/>
      <c r="X115" s="382"/>
      <c r="Y115" s="382"/>
      <c r="Z115" s="546" t="s">
        <v>267</v>
      </c>
      <c r="AA115" s="546"/>
      <c r="AB115" s="546"/>
      <c r="AC115" s="547"/>
      <c r="AD115" s="491">
        <f>SUM(AD100:AD103)</f>
        <v>0</v>
      </c>
      <c r="AE115" s="491">
        <f>SUM(AE100:AE103)</f>
        <v>0</v>
      </c>
      <c r="AF115" s="402"/>
    </row>
    <row r="116" spans="1:33" s="356" customFormat="1" x14ac:dyDescent="0.2">
      <c r="A116" s="435">
        <v>7</v>
      </c>
      <c r="B116" s="435">
        <v>8</v>
      </c>
      <c r="C116" s="446">
        <v>1</v>
      </c>
      <c r="D116" s="585"/>
      <c r="E116" s="497"/>
      <c r="F116" s="592">
        <f t="shared" si="15"/>
        <v>-0.25</v>
      </c>
      <c r="G116" s="563">
        <f t="shared" si="16"/>
        <v>0.56000000000000005</v>
      </c>
      <c r="H116" s="382"/>
      <c r="O116" s="370"/>
      <c r="P116" s="370"/>
      <c r="Q116" s="382"/>
      <c r="R116" s="382"/>
      <c r="S116" s="382"/>
      <c r="T116" s="382"/>
      <c r="U116" s="382"/>
      <c r="V116" s="382"/>
      <c r="W116" s="382"/>
      <c r="X116" s="382"/>
      <c r="Y116" s="382"/>
      <c r="Z116" s="402"/>
      <c r="AA116" s="402"/>
      <c r="AB116" s="402"/>
      <c r="AC116" s="474"/>
      <c r="AD116" s="402"/>
      <c r="AE116" s="402"/>
      <c r="AF116" s="402"/>
    </row>
    <row r="117" spans="1:33" s="356" customFormat="1" x14ac:dyDescent="0.2">
      <c r="A117" s="437">
        <v>8</v>
      </c>
      <c r="B117" s="437">
        <v>9</v>
      </c>
      <c r="C117" s="446">
        <v>1</v>
      </c>
      <c r="D117" s="585"/>
      <c r="E117" s="497"/>
      <c r="F117" s="592">
        <f t="shared" si="15"/>
        <v>-0.25</v>
      </c>
      <c r="G117" s="563">
        <f t="shared" si="16"/>
        <v>0.56000000000000005</v>
      </c>
      <c r="H117" s="370"/>
      <c r="O117" s="370"/>
      <c r="P117" s="370"/>
      <c r="Q117" s="370"/>
      <c r="R117" s="370"/>
      <c r="S117" s="370"/>
      <c r="T117" s="370"/>
      <c r="U117" s="370"/>
      <c r="V117" s="370"/>
      <c r="W117" s="370"/>
      <c r="X117" s="370"/>
      <c r="Y117" s="370"/>
      <c r="Z117" s="402"/>
      <c r="AA117" s="402"/>
      <c r="AB117" s="402"/>
      <c r="AC117" s="474"/>
      <c r="AD117" s="402"/>
      <c r="AE117" s="402"/>
      <c r="AF117" s="402"/>
    </row>
    <row r="118" spans="1:33" s="402" customFormat="1" x14ac:dyDescent="0.2">
      <c r="A118" s="435">
        <v>9</v>
      </c>
      <c r="B118" s="435">
        <v>10</v>
      </c>
      <c r="C118" s="446">
        <v>1</v>
      </c>
      <c r="D118" s="585"/>
      <c r="E118" s="497"/>
      <c r="F118" s="592">
        <f t="shared" si="15"/>
        <v>-0.25</v>
      </c>
      <c r="G118" s="563">
        <f t="shared" si="16"/>
        <v>0.56000000000000005</v>
      </c>
      <c r="H118" s="370"/>
      <c r="I118" s="356"/>
      <c r="J118" s="356"/>
      <c r="K118" s="356"/>
      <c r="L118" s="356"/>
      <c r="M118" s="356"/>
      <c r="N118" s="356"/>
      <c r="O118" s="370"/>
      <c r="P118" s="370"/>
      <c r="Q118" s="370"/>
      <c r="R118" s="370"/>
      <c r="S118" s="370"/>
      <c r="T118" s="370"/>
      <c r="U118" s="370"/>
      <c r="V118" s="370"/>
      <c r="W118" s="370"/>
      <c r="X118" s="370"/>
      <c r="Y118" s="370"/>
      <c r="AC118" s="474"/>
      <c r="AG118" s="356"/>
    </row>
    <row r="119" spans="1:33" s="402" customFormat="1" x14ac:dyDescent="0.2">
      <c r="A119" s="437">
        <v>10</v>
      </c>
      <c r="B119" s="437">
        <v>11</v>
      </c>
      <c r="C119" s="446">
        <v>1</v>
      </c>
      <c r="D119" s="585"/>
      <c r="E119" s="497"/>
      <c r="F119" s="592">
        <f t="shared" si="15"/>
        <v>-0.25</v>
      </c>
      <c r="G119" s="563">
        <f t="shared" si="16"/>
        <v>0.56000000000000005</v>
      </c>
      <c r="H119" s="383"/>
      <c r="I119" s="404"/>
      <c r="J119" s="404"/>
      <c r="K119" s="404"/>
      <c r="L119" s="404"/>
      <c r="M119" s="404"/>
      <c r="N119" s="404"/>
      <c r="O119" s="383"/>
      <c r="P119" s="383"/>
      <c r="Q119" s="383"/>
      <c r="R119" s="383"/>
      <c r="S119" s="383"/>
      <c r="T119" s="383"/>
      <c r="U119" s="383"/>
      <c r="V119" s="383"/>
      <c r="W119" s="383"/>
      <c r="X119" s="383"/>
      <c r="Y119" s="383"/>
      <c r="AC119" s="474"/>
      <c r="AG119" s="370"/>
    </row>
    <row r="120" spans="1:33" s="402" customFormat="1" x14ac:dyDescent="0.2">
      <c r="A120" s="435">
        <v>11</v>
      </c>
      <c r="B120" s="435">
        <v>12</v>
      </c>
      <c r="C120" s="446">
        <v>1</v>
      </c>
      <c r="D120" s="585"/>
      <c r="E120" s="497"/>
      <c r="F120" s="592">
        <f t="shared" si="15"/>
        <v>-0.25</v>
      </c>
      <c r="G120" s="563">
        <f t="shared" si="16"/>
        <v>0.56000000000000005</v>
      </c>
      <c r="H120" s="384"/>
      <c r="I120" s="356"/>
      <c r="J120" s="356"/>
      <c r="K120" s="356"/>
      <c r="L120" s="356"/>
      <c r="M120" s="356"/>
      <c r="N120" s="356"/>
      <c r="O120" s="384"/>
      <c r="P120" s="384"/>
      <c r="Q120" s="384"/>
      <c r="R120" s="384"/>
      <c r="S120" s="384"/>
      <c r="T120" s="384"/>
      <c r="U120" s="384"/>
      <c r="V120" s="384"/>
      <c r="W120" s="384"/>
      <c r="X120" s="384"/>
      <c r="Y120" s="384"/>
      <c r="AC120" s="474"/>
      <c r="AG120" s="356"/>
    </row>
    <row r="121" spans="1:33" s="402" customFormat="1" x14ac:dyDescent="0.2">
      <c r="A121" s="437">
        <v>12</v>
      </c>
      <c r="B121" s="437">
        <v>13</v>
      </c>
      <c r="C121" s="446">
        <v>1</v>
      </c>
      <c r="D121" s="585"/>
      <c r="E121" s="497"/>
      <c r="F121" s="592">
        <f t="shared" si="15"/>
        <v>-0.25</v>
      </c>
      <c r="G121" s="563">
        <f t="shared" si="16"/>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G121" s="356"/>
    </row>
    <row r="122" spans="1:33" s="402" customFormat="1" x14ac:dyDescent="0.2">
      <c r="A122" s="435">
        <v>13</v>
      </c>
      <c r="B122" s="435">
        <v>14</v>
      </c>
      <c r="C122" s="446">
        <v>1</v>
      </c>
      <c r="D122" s="585"/>
      <c r="E122" s="497"/>
      <c r="F122" s="592">
        <f t="shared" si="15"/>
        <v>-0.25</v>
      </c>
      <c r="G122" s="563">
        <f t="shared" si="16"/>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
      <c r="A123" s="437">
        <v>14</v>
      </c>
      <c r="B123" s="437">
        <v>15</v>
      </c>
      <c r="C123" s="446">
        <v>1</v>
      </c>
      <c r="D123" s="585"/>
      <c r="E123" s="497"/>
      <c r="F123" s="592">
        <f t="shared" si="15"/>
        <v>-0.25</v>
      </c>
      <c r="G123" s="563">
        <f t="shared" si="16"/>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465"/>
      <c r="AF123" s="466"/>
      <c r="AG123" s="356"/>
    </row>
    <row r="124" spans="1:33" s="402" customFormat="1" x14ac:dyDescent="0.2">
      <c r="A124" s="435">
        <v>15</v>
      </c>
      <c r="B124" s="435">
        <v>16</v>
      </c>
      <c r="C124" s="446">
        <v>1</v>
      </c>
      <c r="D124" s="585"/>
      <c r="E124" s="497"/>
      <c r="F124" s="592">
        <f t="shared" si="15"/>
        <v>-0.25</v>
      </c>
      <c r="G124" s="563">
        <f t="shared" si="16"/>
        <v>0.56000000000000005</v>
      </c>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73"/>
      <c r="AD124" s="464"/>
      <c r="AE124" s="465"/>
      <c r="AF124" s="466"/>
      <c r="AG124" s="356"/>
    </row>
    <row r="125" spans="1:33" s="402" customFormat="1" x14ac:dyDescent="0.2">
      <c r="A125" s="437">
        <v>16</v>
      </c>
      <c r="B125" s="437">
        <v>17</v>
      </c>
      <c r="C125" s="446">
        <v>1</v>
      </c>
      <c r="D125" s="585"/>
      <c r="E125" s="497"/>
      <c r="F125" s="592">
        <f t="shared" si="15"/>
        <v>-0.25</v>
      </c>
      <c r="G125" s="563">
        <f t="shared" si="16"/>
        <v>0.56000000000000005</v>
      </c>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73"/>
      <c r="AD125" s="464"/>
      <c r="AE125" s="465"/>
      <c r="AF125" s="466"/>
      <c r="AG125" s="356"/>
    </row>
    <row r="126" spans="1:33" s="402" customFormat="1" x14ac:dyDescent="0.2">
      <c r="A126" s="435">
        <v>17</v>
      </c>
      <c r="B126" s="435">
        <v>18</v>
      </c>
      <c r="C126" s="446">
        <v>1</v>
      </c>
      <c r="D126" s="585"/>
      <c r="E126" s="497"/>
      <c r="F126" s="592">
        <f t="shared" si="15"/>
        <v>-0.25</v>
      </c>
      <c r="G126" s="563">
        <f t="shared" si="16"/>
        <v>0.56000000000000005</v>
      </c>
      <c r="H126" s="384"/>
      <c r="I126" s="356"/>
      <c r="J126" s="356"/>
      <c r="K126" s="356"/>
      <c r="L126" s="356"/>
      <c r="M126" s="356"/>
      <c r="N126" s="356"/>
      <c r="O126" s="384"/>
      <c r="P126" s="384"/>
      <c r="Q126" s="384"/>
      <c r="R126" s="384"/>
      <c r="S126" s="384"/>
      <c r="T126" s="384"/>
      <c r="U126" s="384"/>
      <c r="V126" s="384"/>
      <c r="W126" s="384"/>
      <c r="X126" s="384"/>
      <c r="Y126" s="384"/>
      <c r="Z126" s="384"/>
      <c r="AA126" s="384"/>
      <c r="AB126" s="384"/>
      <c r="AC126" s="473"/>
      <c r="AD126" s="464"/>
      <c r="AE126" s="548"/>
      <c r="AG126" s="356"/>
    </row>
    <row r="127" spans="1:33" s="402" customFormat="1" x14ac:dyDescent="0.2">
      <c r="A127" s="437">
        <v>18</v>
      </c>
      <c r="B127" s="437">
        <v>19</v>
      </c>
      <c r="C127" s="446">
        <v>1</v>
      </c>
      <c r="D127" s="585"/>
      <c r="E127" s="497"/>
      <c r="F127" s="592">
        <f t="shared" si="15"/>
        <v>-0.25</v>
      </c>
      <c r="G127" s="563">
        <f t="shared" si="16"/>
        <v>0.56000000000000005</v>
      </c>
      <c r="H127" s="387"/>
      <c r="I127" s="356"/>
      <c r="J127" s="356"/>
      <c r="K127" s="356"/>
      <c r="L127" s="356"/>
      <c r="M127" s="356"/>
      <c r="N127" s="356"/>
      <c r="O127" s="386"/>
      <c r="P127" s="386"/>
      <c r="Q127" s="387"/>
      <c r="R127" s="387"/>
      <c r="S127" s="387"/>
      <c r="T127" s="387"/>
      <c r="U127" s="387"/>
      <c r="V127" s="387"/>
      <c r="W127" s="387"/>
      <c r="X127" s="387"/>
      <c r="Y127" s="387"/>
      <c r="Z127" s="387"/>
      <c r="AA127" s="387"/>
      <c r="AB127" s="387"/>
      <c r="AC127" s="475"/>
      <c r="AG127" s="356"/>
    </row>
    <row r="128" spans="1:33" s="402" customFormat="1" x14ac:dyDescent="0.2">
      <c r="A128" s="435">
        <v>19</v>
      </c>
      <c r="B128" s="435">
        <v>20</v>
      </c>
      <c r="C128" s="446">
        <v>1</v>
      </c>
      <c r="D128" s="585"/>
      <c r="E128" s="497"/>
      <c r="F128" s="592">
        <f t="shared" si="15"/>
        <v>-0.25</v>
      </c>
      <c r="G128" s="563">
        <f t="shared" si="16"/>
        <v>0.56000000000000005</v>
      </c>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76"/>
      <c r="AD128" s="549"/>
      <c r="AE128" s="468"/>
    </row>
    <row r="129" spans="1:33" s="467" customFormat="1" ht="13.5" thickBot="1" x14ac:dyDescent="0.25">
      <c r="A129" s="437">
        <v>20</v>
      </c>
      <c r="B129" s="437">
        <v>21</v>
      </c>
      <c r="C129" s="446">
        <v>1</v>
      </c>
      <c r="D129" s="585"/>
      <c r="E129" s="497"/>
      <c r="F129" s="592">
        <f t="shared" si="15"/>
        <v>-0.25</v>
      </c>
      <c r="G129" s="563">
        <f t="shared" si="16"/>
        <v>0.56000000000000005</v>
      </c>
      <c r="H129" s="388"/>
      <c r="I129" s="356"/>
      <c r="J129" s="356"/>
      <c r="K129" s="356"/>
      <c r="L129" s="356"/>
      <c r="M129" s="356"/>
      <c r="N129" s="356"/>
      <c r="O129" s="411"/>
      <c r="P129" s="411"/>
      <c r="Q129" s="388"/>
      <c r="R129" s="388"/>
      <c r="S129" s="388"/>
      <c r="T129" s="388"/>
      <c r="U129" s="388"/>
      <c r="V129" s="388"/>
      <c r="W129" s="388"/>
      <c r="X129" s="388"/>
      <c r="Y129" s="388"/>
      <c r="Z129" s="388"/>
      <c r="AA129" s="388"/>
      <c r="AB129" s="388"/>
      <c r="AC129" s="476"/>
      <c r="AD129" s="468"/>
      <c r="AE129" s="468"/>
      <c r="AF129" s="402"/>
      <c r="AG129" s="402"/>
    </row>
    <row r="130" spans="1:33" s="402" customFormat="1" x14ac:dyDescent="0.2">
      <c r="A130" s="435">
        <v>21</v>
      </c>
      <c r="B130" s="435">
        <v>22</v>
      </c>
      <c r="C130" s="446">
        <v>1</v>
      </c>
      <c r="D130" s="585"/>
      <c r="E130" s="497"/>
      <c r="F130" s="592">
        <f t="shared" si="15"/>
        <v>-0.25</v>
      </c>
      <c r="G130" s="563">
        <f t="shared" si="16"/>
        <v>0.56000000000000005</v>
      </c>
      <c r="H130" s="388"/>
      <c r="I130" s="356"/>
      <c r="J130" s="428"/>
      <c r="K130" s="356"/>
      <c r="L130" s="356"/>
      <c r="M130" s="356"/>
      <c r="N130" s="356"/>
      <c r="O130" s="411"/>
      <c r="P130" s="411"/>
      <c r="Q130" s="388"/>
      <c r="R130" s="388"/>
      <c r="S130" s="388"/>
      <c r="T130" s="388"/>
      <c r="U130" s="388"/>
      <c r="V130" s="388"/>
      <c r="W130" s="388"/>
      <c r="X130" s="388"/>
      <c r="Y130" s="388"/>
      <c r="Z130" s="388"/>
      <c r="AA130" s="388"/>
      <c r="AB130" s="388"/>
      <c r="AC130" s="476"/>
      <c r="AD130" s="356"/>
      <c r="AE130" s="356"/>
    </row>
    <row r="131" spans="1:33" s="356" customFormat="1" x14ac:dyDescent="0.2">
      <c r="A131" s="437">
        <v>22</v>
      </c>
      <c r="B131" s="437">
        <v>23</v>
      </c>
      <c r="C131" s="446">
        <v>1</v>
      </c>
      <c r="D131" s="585"/>
      <c r="E131" s="497"/>
      <c r="F131" s="592">
        <f t="shared" si="15"/>
        <v>-0.25</v>
      </c>
      <c r="G131" s="563">
        <f t="shared" si="16"/>
        <v>0.56000000000000005</v>
      </c>
      <c r="H131" s="388"/>
      <c r="O131" s="411"/>
      <c r="P131" s="411"/>
      <c r="Q131" s="388"/>
      <c r="R131" s="388"/>
      <c r="S131" s="388"/>
      <c r="T131" s="388"/>
      <c r="U131" s="388"/>
      <c r="V131" s="388"/>
      <c r="W131" s="388"/>
      <c r="X131" s="388"/>
      <c r="Y131" s="388"/>
      <c r="Z131" s="388"/>
      <c r="AA131" s="388"/>
      <c r="AB131" s="388"/>
      <c r="AC131" s="476"/>
      <c r="AD131" s="464"/>
      <c r="AE131" s="548"/>
      <c r="AF131" s="550"/>
      <c r="AG131" s="402"/>
    </row>
    <row r="132" spans="1:33" s="356" customFormat="1" x14ac:dyDescent="0.2">
      <c r="A132" s="437">
        <v>23</v>
      </c>
      <c r="B132" s="435">
        <v>24</v>
      </c>
      <c r="C132" s="446">
        <v>1</v>
      </c>
      <c r="D132" s="585"/>
      <c r="E132" s="540"/>
      <c r="F132" s="592">
        <f t="shared" si="15"/>
        <v>-0.25</v>
      </c>
      <c r="G132" s="563">
        <f t="shared" si="16"/>
        <v>0.56000000000000005</v>
      </c>
      <c r="H132" s="391"/>
      <c r="O132" s="412"/>
      <c r="P132" s="412"/>
      <c r="Q132" s="391"/>
      <c r="R132" s="391"/>
      <c r="S132" s="391"/>
      <c r="T132" s="391"/>
      <c r="U132" s="391"/>
      <c r="V132" s="391"/>
      <c r="W132" s="391"/>
      <c r="X132" s="391"/>
      <c r="Y132" s="391"/>
      <c r="Z132" s="388"/>
      <c r="AA132" s="388"/>
      <c r="AB132" s="388"/>
      <c r="AC132" s="476"/>
      <c r="AD132" s="464"/>
      <c r="AE132" s="548"/>
      <c r="AF132" s="550"/>
      <c r="AG132" s="402"/>
    </row>
    <row r="133" spans="1:33" s="356" customFormat="1" x14ac:dyDescent="0.2">
      <c r="A133" s="579">
        <v>24</v>
      </c>
      <c r="B133" s="437">
        <v>1</v>
      </c>
      <c r="C133" s="446">
        <v>1</v>
      </c>
      <c r="D133" s="587"/>
      <c r="E133" s="493"/>
      <c r="F133" s="592">
        <f t="shared" si="15"/>
        <v>-0.25</v>
      </c>
      <c r="G133" s="563">
        <f t="shared" si="16"/>
        <v>0.56000000000000005</v>
      </c>
      <c r="H133" s="391"/>
      <c r="O133" s="412"/>
      <c r="P133" s="412"/>
      <c r="Q133" s="391"/>
      <c r="R133" s="391"/>
      <c r="S133" s="391"/>
      <c r="T133" s="391"/>
      <c r="U133" s="391"/>
      <c r="V133" s="391"/>
      <c r="W133" s="391"/>
      <c r="X133" s="391"/>
      <c r="Y133" s="391"/>
      <c r="Z133" s="388"/>
      <c r="AA133" s="388"/>
      <c r="AB133" s="388"/>
      <c r="AC133" s="476"/>
      <c r="AD133" s="468"/>
      <c r="AE133" s="468"/>
      <c r="AF133" s="550"/>
      <c r="AG133" s="402"/>
    </row>
    <row r="134" spans="1:33" s="402" customFormat="1" x14ac:dyDescent="0.2">
      <c r="A134" s="356"/>
      <c r="B134" s="356"/>
      <c r="C134" s="356"/>
      <c r="D134" s="585"/>
      <c r="E134" s="356"/>
      <c r="F134" s="356"/>
      <c r="G134" s="435"/>
      <c r="H134" s="391"/>
      <c r="I134" s="356"/>
      <c r="J134" s="356"/>
      <c r="K134" s="356"/>
      <c r="L134" s="356"/>
      <c r="M134" s="356"/>
      <c r="N134" s="356"/>
      <c r="O134" s="412"/>
      <c r="P134" s="412"/>
      <c r="Q134" s="391"/>
      <c r="R134" s="391"/>
      <c r="S134" s="391"/>
      <c r="T134" s="391"/>
      <c r="U134" s="391"/>
      <c r="V134" s="391"/>
      <c r="W134" s="391"/>
      <c r="X134" s="391"/>
      <c r="Y134" s="391"/>
      <c r="Z134" s="388"/>
      <c r="AA134" s="388"/>
      <c r="AB134" s="388"/>
      <c r="AC134" s="476"/>
      <c r="AF134" s="462"/>
    </row>
    <row r="135" spans="1:33" s="402" customFormat="1" ht="18" x14ac:dyDescent="0.25">
      <c r="A135" s="434"/>
      <c r="B135" s="448" t="s">
        <v>242</v>
      </c>
      <c r="C135" s="449"/>
      <c r="D135" s="588"/>
      <c r="E135" s="449"/>
      <c r="F135" s="449"/>
      <c r="G135" s="435"/>
      <c r="H135" s="435"/>
      <c r="I135" s="356"/>
      <c r="J135" s="356"/>
      <c r="K135" s="356"/>
      <c r="L135" s="356"/>
      <c r="M135" s="356"/>
      <c r="N135" s="356"/>
      <c r="O135" s="451"/>
      <c r="P135" s="451"/>
      <c r="Q135" s="435"/>
      <c r="R135" s="435"/>
      <c r="S135" s="435"/>
      <c r="T135" s="435"/>
      <c r="U135" s="435"/>
      <c r="V135" s="435"/>
      <c r="W135" s="435"/>
      <c r="X135" s="435"/>
      <c r="Y135" s="391"/>
      <c r="Z135" s="388"/>
      <c r="AA135" s="388"/>
      <c r="AB135" s="388"/>
      <c r="AC135" s="476"/>
      <c r="AF135" s="462"/>
    </row>
    <row r="136" spans="1:33" s="402" customFormat="1" ht="13.5" thickBot="1" x14ac:dyDescent="0.25">
      <c r="A136" s="435"/>
      <c r="B136" s="435"/>
      <c r="C136" s="435"/>
      <c r="D136" s="589"/>
      <c r="E136" s="435"/>
      <c r="F136" s="435"/>
      <c r="G136" s="435"/>
      <c r="H136" s="435"/>
      <c r="I136" s="356"/>
      <c r="J136" s="356"/>
      <c r="K136" s="356"/>
      <c r="L136" s="356"/>
      <c r="M136" s="356"/>
      <c r="N136" s="356"/>
      <c r="O136" s="451"/>
      <c r="P136" s="451"/>
      <c r="Q136" s="435"/>
      <c r="R136" s="435"/>
      <c r="S136" s="435"/>
      <c r="T136" s="435"/>
      <c r="U136" s="435"/>
      <c r="V136" s="435"/>
      <c r="W136" s="435"/>
      <c r="X136" s="435"/>
      <c r="Y136" s="391"/>
      <c r="Z136" s="388"/>
      <c r="AA136" s="388"/>
      <c r="AB136" s="388"/>
      <c r="AC136" s="476"/>
      <c r="AF136" s="356"/>
    </row>
    <row r="137" spans="1:33" s="402" customFormat="1" ht="18.75" thickBot="1" x14ac:dyDescent="0.3">
      <c r="A137" s="438" t="s">
        <v>7</v>
      </c>
      <c r="B137" s="439"/>
      <c r="C137" s="439" t="s">
        <v>265</v>
      </c>
      <c r="D137" s="586"/>
      <c r="E137" s="439"/>
      <c r="F137" s="450" t="s">
        <v>271</v>
      </c>
      <c r="G137" s="440"/>
      <c r="H137" s="435" t="s">
        <v>272</v>
      </c>
      <c r="I137" s="356"/>
      <c r="J137" s="356"/>
      <c r="K137" s="356"/>
      <c r="L137" s="356"/>
      <c r="M137" s="356"/>
      <c r="N137" s="356"/>
      <c r="O137" s="451"/>
      <c r="P137" s="451"/>
      <c r="Q137" s="435"/>
      <c r="R137" s="435"/>
      <c r="S137" s="435"/>
      <c r="T137" s="435"/>
      <c r="U137" s="435"/>
      <c r="V137" s="435"/>
      <c r="W137" s="435"/>
      <c r="X137" s="435"/>
      <c r="Y137" s="391"/>
      <c r="Z137" s="391"/>
      <c r="AA137" s="391"/>
      <c r="AB137" s="391"/>
      <c r="AC137" s="477"/>
      <c r="AF137" s="356"/>
    </row>
    <row r="138" spans="1:33" s="402" customFormat="1" ht="18" x14ac:dyDescent="0.25">
      <c r="A138" s="444" t="s">
        <v>243</v>
      </c>
      <c r="B138" s="445" t="s">
        <v>244</v>
      </c>
      <c r="C138" s="445"/>
      <c r="D138" s="590"/>
      <c r="E138" s="441"/>
      <c r="F138" s="441" t="s">
        <v>318</v>
      </c>
      <c r="G138" s="435" t="s">
        <v>319</v>
      </c>
      <c r="H138" s="452">
        <v>4.3999999999999997E-2</v>
      </c>
      <c r="I138" s="453" t="s">
        <v>274</v>
      </c>
      <c r="J138" s="356"/>
      <c r="K138" s="356"/>
      <c r="L138" s="356"/>
      <c r="M138" s="454" t="s">
        <v>275</v>
      </c>
      <c r="N138" s="455"/>
      <c r="O138" s="451"/>
      <c r="P138" s="451"/>
      <c r="Q138" s="435"/>
      <c r="R138" s="435"/>
      <c r="S138" s="435"/>
      <c r="T138" s="435"/>
      <c r="U138" s="435"/>
      <c r="V138" s="435"/>
      <c r="W138" s="435"/>
      <c r="X138" s="435"/>
      <c r="Y138" s="391"/>
      <c r="Z138" s="391"/>
      <c r="AA138" s="391"/>
      <c r="AB138" s="391"/>
      <c r="AC138" s="477"/>
      <c r="AF138" s="356"/>
    </row>
    <row r="139" spans="1:33" s="402" customFormat="1" ht="13.5" thickBot="1" x14ac:dyDescent="0.25">
      <c r="A139" s="437">
        <v>24</v>
      </c>
      <c r="B139" s="435">
        <v>1</v>
      </c>
      <c r="C139" s="446">
        <v>1</v>
      </c>
      <c r="D139" s="585"/>
      <c r="E139" s="540"/>
      <c r="F139" s="592">
        <f t="shared" ref="F139:F163" si="17">D139-0.25</f>
        <v>-0.25</v>
      </c>
      <c r="G139" s="563">
        <f>D139+0.56</f>
        <v>0.56000000000000005</v>
      </c>
      <c r="I139" s="456" t="s">
        <v>273</v>
      </c>
      <c r="J139" s="457"/>
      <c r="K139" s="356"/>
      <c r="L139" s="356"/>
      <c r="M139" s="356"/>
      <c r="N139" s="356"/>
      <c r="O139" s="451"/>
      <c r="P139" s="451"/>
      <c r="Q139" s="435"/>
      <c r="R139" s="435"/>
      <c r="S139" s="435"/>
      <c r="T139" s="435"/>
      <c r="U139" s="435"/>
      <c r="V139" s="435"/>
      <c r="W139" s="435"/>
      <c r="X139" s="435"/>
      <c r="Y139" s="391"/>
      <c r="Z139" s="391"/>
      <c r="AA139" s="459"/>
      <c r="AB139" s="391"/>
      <c r="AC139" s="477"/>
      <c r="AD139" s="356"/>
      <c r="AE139" s="356"/>
      <c r="AF139" s="356"/>
      <c r="AG139" s="467"/>
    </row>
    <row r="140" spans="1:33" s="402" customFormat="1" x14ac:dyDescent="0.2">
      <c r="A140" s="435">
        <v>1</v>
      </c>
      <c r="B140" s="435">
        <v>2</v>
      </c>
      <c r="C140" s="446">
        <v>1</v>
      </c>
      <c r="D140" s="591"/>
      <c r="E140" s="497"/>
      <c r="F140" s="592">
        <f t="shared" si="17"/>
        <v>-0.25</v>
      </c>
      <c r="G140" s="563">
        <f t="shared" ref="G140:G162" si="18">D140+0.56</f>
        <v>0.56000000000000005</v>
      </c>
      <c r="I140" s="456"/>
      <c r="J140" s="457"/>
      <c r="K140" s="356"/>
      <c r="L140" s="356"/>
      <c r="M140" s="356"/>
      <c r="N140" s="356"/>
      <c r="O140" s="451"/>
      <c r="P140" s="451"/>
      <c r="Q140" s="435"/>
      <c r="R140" s="435"/>
      <c r="S140" s="435"/>
      <c r="T140" s="435"/>
      <c r="U140" s="435"/>
      <c r="V140" s="435"/>
      <c r="W140" s="435"/>
      <c r="X140" s="435"/>
      <c r="Y140" s="391"/>
      <c r="Z140" s="391"/>
      <c r="AA140" s="459"/>
      <c r="AB140" s="391"/>
      <c r="AC140" s="477"/>
      <c r="AD140" s="403"/>
      <c r="AE140" s="356"/>
      <c r="AF140" s="356"/>
    </row>
    <row r="141" spans="1:33" s="402" customFormat="1" x14ac:dyDescent="0.2">
      <c r="A141" s="437">
        <v>2</v>
      </c>
      <c r="B141" s="435">
        <v>3</v>
      </c>
      <c r="C141" s="446">
        <v>1</v>
      </c>
      <c r="D141" s="587"/>
      <c r="E141" s="497"/>
      <c r="F141" s="592">
        <f t="shared" si="17"/>
        <v>-0.25</v>
      </c>
      <c r="G141" s="563">
        <f t="shared" si="18"/>
        <v>0.56000000000000005</v>
      </c>
      <c r="I141" s="456"/>
      <c r="J141" s="457"/>
      <c r="K141" s="376"/>
      <c r="L141" s="376"/>
      <c r="M141" s="376"/>
      <c r="N141" s="376"/>
      <c r="O141" s="451"/>
      <c r="P141" s="451"/>
      <c r="Q141" s="435"/>
      <c r="R141" s="435"/>
      <c r="S141" s="435"/>
      <c r="T141" s="435"/>
      <c r="U141" s="435"/>
      <c r="V141" s="435"/>
      <c r="W141" s="435"/>
      <c r="X141" s="435"/>
      <c r="Y141" s="391"/>
      <c r="Z141" s="391"/>
      <c r="AA141" s="459"/>
      <c r="AB141" s="391"/>
      <c r="AC141" s="477"/>
      <c r="AF141" s="356"/>
      <c r="AG141" s="356"/>
    </row>
    <row r="142" spans="1:33" s="402" customFormat="1" x14ac:dyDescent="0.2">
      <c r="A142" s="435">
        <v>3</v>
      </c>
      <c r="B142" s="435">
        <v>4</v>
      </c>
      <c r="C142" s="446">
        <v>1</v>
      </c>
      <c r="D142" s="587"/>
      <c r="E142" s="497"/>
      <c r="F142" s="592">
        <f t="shared" si="17"/>
        <v>-0.25</v>
      </c>
      <c r="G142" s="563">
        <f t="shared" si="18"/>
        <v>0.56000000000000005</v>
      </c>
      <c r="I142" s="458"/>
      <c r="J142" s="457"/>
      <c r="K142" s="435"/>
      <c r="L142" s="435"/>
      <c r="M142" s="451"/>
      <c r="N142" s="451"/>
      <c r="O142" s="435"/>
      <c r="P142" s="435"/>
      <c r="Q142" s="435"/>
      <c r="R142" s="435"/>
      <c r="S142" s="435"/>
      <c r="T142" s="435"/>
      <c r="U142" s="435"/>
      <c r="V142" s="435"/>
      <c r="W142" s="435"/>
      <c r="X142" s="435"/>
      <c r="Y142" s="391"/>
      <c r="Z142" s="391"/>
      <c r="AA142" s="459"/>
      <c r="AB142" s="391"/>
      <c r="AC142" s="477"/>
      <c r="AD142" s="429"/>
      <c r="AE142" s="430"/>
      <c r="AF142" s="356"/>
      <c r="AG142" s="356"/>
    </row>
    <row r="143" spans="1:33" s="402" customFormat="1" x14ac:dyDescent="0.2">
      <c r="A143" s="437">
        <v>4</v>
      </c>
      <c r="B143" s="435">
        <v>5</v>
      </c>
      <c r="C143" s="446">
        <v>1</v>
      </c>
      <c r="D143" s="587"/>
      <c r="E143" s="497"/>
      <c r="F143" s="592">
        <f t="shared" si="17"/>
        <v>-0.25</v>
      </c>
      <c r="G143" s="563">
        <f t="shared" si="18"/>
        <v>0.56000000000000005</v>
      </c>
      <c r="I143" s="458"/>
      <c r="J143" s="457"/>
      <c r="K143" s="435"/>
      <c r="L143" s="435"/>
      <c r="M143" s="451"/>
      <c r="N143" s="451"/>
      <c r="O143" s="435"/>
      <c r="P143" s="435"/>
      <c r="Q143" s="435"/>
      <c r="R143" s="435"/>
      <c r="S143" s="435"/>
      <c r="T143" s="435"/>
      <c r="U143" s="435"/>
      <c r="V143" s="435"/>
      <c r="W143" s="435"/>
      <c r="X143" s="435"/>
      <c r="Y143" s="391"/>
      <c r="Z143" s="391"/>
      <c r="AA143" s="459"/>
      <c r="AB143" s="391"/>
      <c r="AC143" s="477"/>
      <c r="AD143" s="403"/>
      <c r="AE143" s="356"/>
      <c r="AF143" s="356"/>
      <c r="AG143" s="356"/>
    </row>
    <row r="144" spans="1:33" s="402" customFormat="1" x14ac:dyDescent="0.2">
      <c r="A144" s="435">
        <v>5</v>
      </c>
      <c r="B144" s="435">
        <v>6</v>
      </c>
      <c r="C144" s="446">
        <v>1</v>
      </c>
      <c r="D144" s="587"/>
      <c r="E144" s="497"/>
      <c r="F144" s="592">
        <f t="shared" si="17"/>
        <v>-0.25</v>
      </c>
      <c r="G144" s="563">
        <f t="shared" si="18"/>
        <v>0.56000000000000005</v>
      </c>
      <c r="I144" s="458"/>
      <c r="J144" s="457"/>
      <c r="K144" s="435"/>
      <c r="L144" s="435"/>
      <c r="M144" s="451"/>
      <c r="N144" s="451"/>
      <c r="O144" s="435"/>
      <c r="P144" s="435"/>
      <c r="Q144" s="435"/>
      <c r="R144" s="435"/>
      <c r="S144" s="435"/>
      <c r="T144" s="435"/>
      <c r="U144" s="435"/>
      <c r="V144" s="435"/>
      <c r="W144" s="435"/>
      <c r="X144" s="435"/>
      <c r="Y144" s="391"/>
      <c r="Z144" s="391"/>
      <c r="AA144" s="459"/>
      <c r="AB144" s="391"/>
      <c r="AC144" s="477"/>
      <c r="AD144" s="403"/>
      <c r="AE144" s="356"/>
      <c r="AF144" s="356"/>
    </row>
    <row r="145" spans="1:32" s="402" customFormat="1" x14ac:dyDescent="0.2">
      <c r="A145" s="437">
        <v>6</v>
      </c>
      <c r="B145" s="435">
        <v>7</v>
      </c>
      <c r="C145" s="446">
        <v>1</v>
      </c>
      <c r="D145" s="587"/>
      <c r="E145" s="497"/>
      <c r="F145" s="592">
        <f t="shared" si="17"/>
        <v>-0.25</v>
      </c>
      <c r="G145" s="563">
        <f t="shared" si="18"/>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3"/>
      <c r="AE145" s="356"/>
      <c r="AF145" s="356"/>
    </row>
    <row r="146" spans="1:32" s="402" customFormat="1" x14ac:dyDescent="0.2">
      <c r="A146" s="435">
        <v>7</v>
      </c>
      <c r="B146" s="435">
        <v>8</v>
      </c>
      <c r="C146" s="446">
        <v>1</v>
      </c>
      <c r="D146" s="587"/>
      <c r="E146" s="497"/>
      <c r="F146" s="592">
        <f t="shared" si="17"/>
        <v>-0.25</v>
      </c>
      <c r="G146" s="563">
        <f t="shared" si="18"/>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403"/>
      <c r="AE146" s="356"/>
      <c r="AF146" s="356"/>
    </row>
    <row r="147" spans="1:32" s="402" customFormat="1" x14ac:dyDescent="0.2">
      <c r="A147" s="437">
        <v>8</v>
      </c>
      <c r="B147" s="435">
        <v>9</v>
      </c>
      <c r="C147" s="446">
        <v>1</v>
      </c>
      <c r="D147" s="587"/>
      <c r="E147" s="497"/>
      <c r="F147" s="592">
        <f t="shared" si="17"/>
        <v>-0.25</v>
      </c>
      <c r="G147" s="563">
        <f t="shared" si="18"/>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396"/>
      <c r="AE147" s="397"/>
      <c r="AF147" s="403"/>
    </row>
    <row r="148" spans="1:32" s="402" customFormat="1" x14ac:dyDescent="0.2">
      <c r="A148" s="435">
        <v>9</v>
      </c>
      <c r="B148" s="435">
        <v>10</v>
      </c>
      <c r="C148" s="446">
        <v>1</v>
      </c>
      <c r="D148" s="587"/>
      <c r="E148" s="497"/>
      <c r="F148" s="592">
        <f t="shared" si="17"/>
        <v>-0.25</v>
      </c>
      <c r="G148" s="563">
        <f t="shared" si="18"/>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8"/>
      <c r="AE148" s="398"/>
      <c r="AF148" s="403"/>
    </row>
    <row r="149" spans="1:32" s="402" customFormat="1" x14ac:dyDescent="0.2">
      <c r="A149" s="437">
        <v>10</v>
      </c>
      <c r="B149" s="435">
        <v>11</v>
      </c>
      <c r="C149" s="446">
        <v>1</v>
      </c>
      <c r="D149" s="587"/>
      <c r="E149" s="497"/>
      <c r="F149" s="592">
        <f t="shared" si="17"/>
        <v>-0.25</v>
      </c>
      <c r="G149" s="563">
        <f t="shared" si="18"/>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396"/>
      <c r="AE149" s="397"/>
      <c r="AF149" s="403"/>
    </row>
    <row r="150" spans="1:32" s="402" customFormat="1" x14ac:dyDescent="0.2">
      <c r="A150" s="435">
        <v>11</v>
      </c>
      <c r="B150" s="435">
        <v>12</v>
      </c>
      <c r="C150" s="446">
        <v>1</v>
      </c>
      <c r="D150" s="587"/>
      <c r="E150" s="497"/>
      <c r="F150" s="592">
        <f t="shared" si="17"/>
        <v>-0.25</v>
      </c>
      <c r="G150" s="563">
        <f t="shared" si="18"/>
        <v>0.56000000000000005</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399"/>
      <c r="AF150" s="403"/>
    </row>
    <row r="151" spans="1:32" s="402" customFormat="1" x14ac:dyDescent="0.2">
      <c r="A151" s="437">
        <v>12</v>
      </c>
      <c r="B151" s="435">
        <v>13</v>
      </c>
      <c r="C151" s="446">
        <v>1</v>
      </c>
      <c r="D151" s="587"/>
      <c r="E151" s="497"/>
      <c r="F151" s="592">
        <f t="shared" si="17"/>
        <v>-0.25</v>
      </c>
      <c r="G151" s="563">
        <f t="shared" si="18"/>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401"/>
      <c r="AE151" s="399"/>
      <c r="AF151" s="403"/>
    </row>
    <row r="152" spans="1:32" s="402" customFormat="1" x14ac:dyDescent="0.2">
      <c r="A152" s="435">
        <v>13</v>
      </c>
      <c r="B152" s="435">
        <v>14</v>
      </c>
      <c r="C152" s="446">
        <v>1</v>
      </c>
      <c r="D152" s="587"/>
      <c r="E152" s="497"/>
      <c r="F152" s="592">
        <f t="shared" si="17"/>
        <v>-0.25</v>
      </c>
      <c r="G152" s="563">
        <f t="shared" si="18"/>
        <v>0.56000000000000005</v>
      </c>
      <c r="I152" s="458"/>
      <c r="J152" s="457"/>
      <c r="K152" s="435"/>
      <c r="L152" s="435"/>
      <c r="M152" s="451"/>
      <c r="N152" s="451"/>
      <c r="O152" s="435"/>
      <c r="P152" s="435"/>
      <c r="Q152" s="435"/>
      <c r="R152" s="435"/>
      <c r="S152" s="435"/>
      <c r="T152" s="435"/>
      <c r="U152" s="435"/>
      <c r="V152" s="435"/>
      <c r="W152" s="435"/>
      <c r="X152" s="435"/>
      <c r="Y152" s="391"/>
      <c r="Z152" s="370"/>
      <c r="AA152" s="459"/>
      <c r="AB152" s="370"/>
      <c r="AC152" s="472"/>
      <c r="AD152" s="401"/>
      <c r="AE152" s="413"/>
      <c r="AF152" s="403"/>
    </row>
    <row r="153" spans="1:32" s="402" customFormat="1" x14ac:dyDescent="0.2">
      <c r="A153" s="437">
        <v>14</v>
      </c>
      <c r="B153" s="435">
        <v>15</v>
      </c>
      <c r="C153" s="446">
        <v>1</v>
      </c>
      <c r="D153" s="587"/>
      <c r="E153" s="497"/>
      <c r="F153" s="592">
        <f t="shared" si="17"/>
        <v>-0.25</v>
      </c>
      <c r="G153" s="563">
        <f t="shared" si="18"/>
        <v>0.56000000000000005</v>
      </c>
      <c r="H153" s="402" t="s">
        <v>169</v>
      </c>
      <c r="I153" s="458"/>
      <c r="J153" s="457"/>
      <c r="K153" s="435"/>
      <c r="L153" s="435"/>
      <c r="M153" s="451"/>
      <c r="N153" s="451"/>
      <c r="O153" s="435"/>
      <c r="P153" s="435"/>
      <c r="Q153" s="435"/>
      <c r="R153" s="435"/>
      <c r="S153" s="435"/>
      <c r="T153" s="435"/>
      <c r="U153" s="435"/>
      <c r="V153" s="435"/>
      <c r="W153" s="435"/>
      <c r="X153" s="435"/>
      <c r="Y153" s="391"/>
      <c r="Z153" s="370"/>
      <c r="AA153" s="459"/>
      <c r="AB153" s="370"/>
      <c r="AC153" s="472"/>
      <c r="AD153" s="401"/>
      <c r="AE153" s="414"/>
      <c r="AF153" s="356"/>
    </row>
    <row r="154" spans="1:32" s="402" customFormat="1" x14ac:dyDescent="0.2">
      <c r="A154" s="435">
        <v>15</v>
      </c>
      <c r="B154" s="435">
        <v>16</v>
      </c>
      <c r="C154" s="446">
        <v>1</v>
      </c>
      <c r="D154" s="587"/>
      <c r="E154" s="497"/>
      <c r="F154" s="592">
        <f t="shared" si="17"/>
        <v>-0.25</v>
      </c>
      <c r="G154" s="563">
        <f t="shared" si="18"/>
        <v>0.56000000000000005</v>
      </c>
      <c r="I154" s="458"/>
      <c r="J154" s="457"/>
      <c r="K154" s="435"/>
      <c r="L154" s="435"/>
      <c r="M154" s="451"/>
      <c r="N154" s="451"/>
      <c r="O154" s="435"/>
      <c r="P154" s="435"/>
      <c r="Q154" s="435"/>
      <c r="R154" s="435"/>
      <c r="S154" s="435"/>
      <c r="T154" s="435"/>
      <c r="U154" s="435"/>
      <c r="V154" s="435"/>
      <c r="W154" s="435"/>
      <c r="X154" s="435"/>
      <c r="Y154" s="391"/>
      <c r="Z154" s="370"/>
      <c r="AA154" s="459"/>
      <c r="AB154" s="370"/>
      <c r="AC154" s="472"/>
      <c r="AD154" s="396"/>
      <c r="AE154" s="397"/>
      <c r="AF154" s="356"/>
    </row>
    <row r="155" spans="1:32" s="402" customFormat="1" x14ac:dyDescent="0.2">
      <c r="A155" s="437">
        <v>16</v>
      </c>
      <c r="B155" s="435">
        <v>17</v>
      </c>
      <c r="C155" s="446">
        <v>1</v>
      </c>
      <c r="D155" s="587"/>
      <c r="E155" s="497"/>
      <c r="F155" s="592">
        <f t="shared" si="17"/>
        <v>-0.25</v>
      </c>
      <c r="G155" s="563">
        <f t="shared" si="18"/>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96"/>
      <c r="AE155" s="397"/>
      <c r="AF155" s="398"/>
    </row>
    <row r="156" spans="1:32" s="402" customFormat="1" x14ac:dyDescent="0.2">
      <c r="A156" s="435">
        <v>17</v>
      </c>
      <c r="B156" s="435">
        <v>18</v>
      </c>
      <c r="C156" s="446">
        <v>1</v>
      </c>
      <c r="D156" s="587"/>
      <c r="E156" s="497"/>
      <c r="F156" s="592">
        <f t="shared" si="17"/>
        <v>-0.25</v>
      </c>
      <c r="G156" s="563">
        <f t="shared" si="18"/>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1"/>
      <c r="AE156" s="381"/>
      <c r="AF156" s="396"/>
    </row>
    <row r="157" spans="1:32" s="402" customFormat="1" x14ac:dyDescent="0.2">
      <c r="A157" s="437">
        <v>18</v>
      </c>
      <c r="B157" s="435">
        <v>19</v>
      </c>
      <c r="C157" s="446">
        <v>1</v>
      </c>
      <c r="D157" s="587"/>
      <c r="E157" s="497"/>
      <c r="F157" s="592">
        <f t="shared" si="17"/>
        <v>-0.25</v>
      </c>
      <c r="G157" s="563">
        <f t="shared" si="18"/>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70"/>
      <c r="AE157" s="370"/>
      <c r="AF157" s="396"/>
    </row>
    <row r="158" spans="1:32" s="402" customFormat="1" x14ac:dyDescent="0.2">
      <c r="A158" s="435">
        <v>19</v>
      </c>
      <c r="B158" s="435">
        <v>20</v>
      </c>
      <c r="C158" s="446">
        <v>1</v>
      </c>
      <c r="D158" s="587"/>
      <c r="E158" s="497"/>
      <c r="F158" s="592">
        <f t="shared" si="17"/>
        <v>-0.25</v>
      </c>
      <c r="G158" s="563">
        <f t="shared" si="18"/>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82"/>
      <c r="AE158" s="382"/>
      <c r="AF158" s="394"/>
    </row>
    <row r="159" spans="1:32" s="402" customFormat="1" x14ac:dyDescent="0.2">
      <c r="A159" s="437">
        <v>20</v>
      </c>
      <c r="B159" s="435">
        <v>21</v>
      </c>
      <c r="C159" s="446">
        <v>1</v>
      </c>
      <c r="D159" s="587"/>
      <c r="E159" s="497"/>
      <c r="F159" s="592">
        <f t="shared" si="17"/>
        <v>-0.25</v>
      </c>
      <c r="G159" s="563">
        <f t="shared" si="18"/>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82"/>
      <c r="AE159" s="382"/>
      <c r="AF159" s="367"/>
    </row>
    <row r="160" spans="1:32" s="402" customFormat="1" x14ac:dyDescent="0.2">
      <c r="A160" s="435">
        <v>21</v>
      </c>
      <c r="B160" s="435">
        <v>22</v>
      </c>
      <c r="C160" s="446">
        <v>1</v>
      </c>
      <c r="D160" s="587"/>
      <c r="E160" s="497"/>
      <c r="F160" s="592">
        <f t="shared" si="17"/>
        <v>-0.25</v>
      </c>
      <c r="G160" s="563">
        <f t="shared" si="18"/>
        <v>0.56000000000000005</v>
      </c>
      <c r="I160" s="458"/>
      <c r="J160" s="457"/>
      <c r="K160" s="435"/>
      <c r="L160" s="435"/>
      <c r="M160" s="451"/>
      <c r="N160" s="451"/>
      <c r="O160" s="435"/>
      <c r="R160" s="435"/>
      <c r="S160" s="435"/>
      <c r="T160" s="435"/>
      <c r="U160" s="435"/>
      <c r="V160" s="435"/>
      <c r="W160" s="435"/>
      <c r="X160" s="435"/>
      <c r="Y160" s="391"/>
      <c r="Z160" s="370"/>
      <c r="AA160" s="459"/>
      <c r="AB160" s="370"/>
      <c r="AC160" s="472"/>
      <c r="AD160" s="370"/>
      <c r="AE160" s="370"/>
      <c r="AF160" s="367"/>
    </row>
    <row r="161" spans="1:32" s="402" customFormat="1" x14ac:dyDescent="0.2">
      <c r="A161" s="437">
        <v>22</v>
      </c>
      <c r="B161" s="435">
        <v>23</v>
      </c>
      <c r="C161" s="446">
        <v>1</v>
      </c>
      <c r="D161" s="587"/>
      <c r="E161" s="497"/>
      <c r="F161" s="592">
        <f t="shared" si="17"/>
        <v>-0.25</v>
      </c>
      <c r="G161" s="563">
        <f t="shared" si="18"/>
        <v>0.56000000000000005</v>
      </c>
      <c r="I161" s="458"/>
      <c r="J161" s="457"/>
      <c r="K161" s="435"/>
      <c r="L161" s="435"/>
      <c r="M161" s="451"/>
      <c r="N161" s="451"/>
      <c r="O161" s="435"/>
      <c r="R161" s="435"/>
      <c r="S161" s="435"/>
      <c r="T161" s="435"/>
      <c r="U161" s="435"/>
      <c r="V161" s="435"/>
      <c r="W161" s="435"/>
      <c r="X161" s="435"/>
      <c r="Y161" s="391"/>
      <c r="Z161" s="370"/>
      <c r="AA161" s="459"/>
      <c r="AB161" s="370"/>
      <c r="AC161" s="472"/>
      <c r="AD161" s="370"/>
      <c r="AE161" s="370"/>
      <c r="AF161" s="367"/>
    </row>
    <row r="162" spans="1:32" s="402" customFormat="1" x14ac:dyDescent="0.2">
      <c r="A162" s="437">
        <v>23</v>
      </c>
      <c r="B162" s="435">
        <v>24</v>
      </c>
      <c r="C162" s="446">
        <v>1</v>
      </c>
      <c r="D162" s="587"/>
      <c r="E162" s="540"/>
      <c r="F162" s="592">
        <f t="shared" si="17"/>
        <v>-0.25</v>
      </c>
      <c r="G162" s="563">
        <f t="shared" si="18"/>
        <v>0.56000000000000005</v>
      </c>
      <c r="I162" s="458"/>
      <c r="J162" s="457"/>
      <c r="K162" s="435"/>
      <c r="L162" s="435"/>
      <c r="M162" s="451"/>
      <c r="N162" s="451"/>
      <c r="O162" s="435"/>
      <c r="R162" s="435"/>
      <c r="S162" s="435"/>
      <c r="T162" s="435"/>
      <c r="U162" s="435"/>
      <c r="V162" s="435"/>
      <c r="W162" s="435"/>
      <c r="X162" s="435"/>
      <c r="Y162" s="391"/>
      <c r="Z162" s="370"/>
      <c r="AA162" s="459"/>
      <c r="AB162" s="370"/>
      <c r="AC162" s="472"/>
      <c r="AD162" s="383"/>
      <c r="AE162" s="383"/>
      <c r="AF162" s="374"/>
    </row>
    <row r="163" spans="1:32" s="402" customFormat="1" x14ac:dyDescent="0.2">
      <c r="A163" s="370">
        <v>24</v>
      </c>
      <c r="B163" s="435">
        <v>1</v>
      </c>
      <c r="C163" s="446">
        <v>1</v>
      </c>
      <c r="D163" s="587"/>
      <c r="E163" s="493"/>
      <c r="F163" s="592">
        <f t="shared" si="17"/>
        <v>-0.25</v>
      </c>
      <c r="G163" s="563">
        <f>D163+0.56</f>
        <v>0.56000000000000005</v>
      </c>
      <c r="H163" s="447"/>
      <c r="I163" s="458"/>
      <c r="J163" s="457"/>
      <c r="K163" s="435"/>
      <c r="L163" s="435"/>
      <c r="M163" s="451"/>
      <c r="N163" s="451"/>
      <c r="O163" s="435"/>
      <c r="R163" s="435"/>
      <c r="S163" s="435"/>
      <c r="T163" s="435"/>
      <c r="U163" s="435"/>
      <c r="V163" s="435"/>
      <c r="W163" s="435"/>
      <c r="X163" s="435"/>
      <c r="Y163" s="370"/>
      <c r="Z163" s="370"/>
      <c r="AA163" s="370"/>
      <c r="AB163" s="370"/>
      <c r="AC163" s="472"/>
      <c r="AD163" s="384"/>
      <c r="AE163" s="384"/>
      <c r="AF163" s="374"/>
    </row>
    <row r="164" spans="1:32" s="402" customFormat="1" x14ac:dyDescent="0.2">
      <c r="A164" s="370"/>
      <c r="B164" s="370"/>
      <c r="C164" s="370"/>
      <c r="D164" s="581"/>
      <c r="E164" s="496"/>
      <c r="F164" s="370"/>
      <c r="G164" s="370"/>
      <c r="H164" s="393"/>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4"/>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79"/>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72"/>
      <c r="AD166" s="384"/>
      <c r="AE166" s="384"/>
      <c r="AF166" s="381"/>
    </row>
    <row r="167" spans="1:32" s="402" customFormat="1" x14ac:dyDescent="0.2">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72"/>
      <c r="AD167" s="384"/>
      <c r="AE167" s="384"/>
      <c r="AF167" s="370"/>
    </row>
    <row r="168" spans="1:32" s="402" customFormat="1" x14ac:dyDescent="0.2">
      <c r="A168" s="370"/>
      <c r="B168" s="370"/>
      <c r="C168" s="370"/>
      <c r="D168" s="370"/>
      <c r="E168" s="370"/>
      <c r="F168" s="370"/>
      <c r="G168" s="370"/>
      <c r="H168" s="370"/>
      <c r="I168" s="370"/>
      <c r="J168" s="370"/>
      <c r="K168" s="370"/>
      <c r="L168" s="370"/>
      <c r="M168" s="385"/>
      <c r="N168" s="385"/>
      <c r="O168" s="370"/>
      <c r="R168" s="370"/>
      <c r="S168" s="370"/>
      <c r="T168" s="370"/>
      <c r="U168" s="370"/>
      <c r="V168" s="370"/>
      <c r="W168" s="370"/>
      <c r="X168" s="370"/>
      <c r="Y168" s="370"/>
      <c r="Z168" s="370"/>
      <c r="AA168" s="370"/>
      <c r="AB168" s="370"/>
      <c r="AC168" s="472"/>
      <c r="AD168" s="384"/>
      <c r="AE168" s="384"/>
      <c r="AF168" s="382"/>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4"/>
      <c r="AE169" s="384"/>
      <c r="AF169" s="382"/>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7"/>
      <c r="AE170" s="387"/>
      <c r="AF170" s="370"/>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3"/>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88"/>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88"/>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72"/>
      <c r="AD176" s="388"/>
      <c r="AE176" s="391"/>
      <c r="AF176" s="384"/>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72"/>
      <c r="AD177" s="388"/>
      <c r="AE177" s="391"/>
      <c r="AF177" s="384"/>
    </row>
    <row r="178" spans="1:32" s="402" customFormat="1" x14ac:dyDescent="0.2">
      <c r="A178" s="370"/>
      <c r="B178" s="370"/>
      <c r="C178" s="370"/>
      <c r="D178" s="370"/>
      <c r="E178" s="370"/>
      <c r="F178" s="370"/>
      <c r="G178" s="370"/>
      <c r="H178" s="370"/>
      <c r="I178" s="370"/>
      <c r="L178" s="370"/>
      <c r="M178" s="385"/>
      <c r="N178" s="385"/>
      <c r="O178" s="370"/>
      <c r="R178" s="370"/>
      <c r="S178" s="370"/>
      <c r="T178" s="370"/>
      <c r="U178" s="370"/>
      <c r="V178" s="370"/>
      <c r="W178" s="370"/>
      <c r="X178" s="370"/>
      <c r="Y178" s="370"/>
      <c r="Z178" s="370"/>
      <c r="AA178" s="370"/>
      <c r="AB178" s="370"/>
      <c r="AC178" s="472"/>
      <c r="AD178" s="388"/>
      <c r="AE178" s="391"/>
      <c r="AF178" s="384"/>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8"/>
      <c r="AE179" s="391"/>
      <c r="AF179" s="386"/>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91"/>
      <c r="AE182" s="391"/>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91"/>
      <c r="AE183" s="391"/>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91"/>
      <c r="AE184" s="391"/>
      <c r="AF184" s="389"/>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90"/>
      <c r="AF185" s="384"/>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89"/>
      <c r="AF186" s="386"/>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2"/>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0"/>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72"/>
      <c r="AD190" s="389"/>
      <c r="AE190" s="390"/>
      <c r="AF190" s="388"/>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72"/>
      <c r="AD191" s="389"/>
      <c r="AE191" s="389"/>
      <c r="AF191" s="388"/>
    </row>
    <row r="192" spans="1:32" s="402" customFormat="1" x14ac:dyDescent="0.2">
      <c r="A192" s="370"/>
      <c r="B192" s="370"/>
      <c r="C192" s="370"/>
      <c r="D192" s="370"/>
      <c r="E192" s="370"/>
      <c r="F192" s="370"/>
      <c r="G192" s="370"/>
      <c r="H192" s="370"/>
      <c r="I192" s="370"/>
      <c r="L192" s="370"/>
      <c r="M192" s="385"/>
      <c r="N192" s="385"/>
      <c r="O192" s="370"/>
      <c r="P192" s="370"/>
      <c r="Q192" s="370"/>
      <c r="R192" s="370"/>
      <c r="S192" s="370"/>
      <c r="T192" s="370"/>
      <c r="U192" s="370"/>
      <c r="V192" s="370"/>
      <c r="W192" s="370"/>
      <c r="X192" s="370"/>
      <c r="Y192" s="370"/>
      <c r="Z192" s="370"/>
      <c r="AA192" s="370"/>
      <c r="AB192" s="370"/>
      <c r="AC192" s="472"/>
      <c r="AD192" s="389"/>
      <c r="AE192" s="392"/>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89"/>
      <c r="AE193" s="390"/>
      <c r="AF193" s="388"/>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91"/>
      <c r="AE194" s="389"/>
      <c r="AF194" s="388"/>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91"/>
      <c r="AE195" s="389"/>
      <c r="AF195" s="388"/>
    </row>
    <row r="196" spans="1:32" s="402" customFormat="1" ht="12.75"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91"/>
      <c r="AE196" s="389"/>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91"/>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2"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2"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2"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3" s="402" customFormat="1" ht="12" customHeigh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c r="AG235" s="402"/>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398"/>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403"/>
      <c r="AH255" s="40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403"/>
      <c r="AH256" s="398"/>
    </row>
    <row r="257" spans="1:34" s="356" customFormat="1" ht="14.2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403"/>
      <c r="AH257" s="397"/>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H258" s="397"/>
    </row>
    <row r="259" spans="1:34" s="404" customFormat="1" ht="12"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56"/>
      <c r="AH259" s="398"/>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H260" s="398"/>
    </row>
    <row r="261" spans="1:34" s="356" customFormat="1" ht="17.2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H261" s="398"/>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H262" s="388"/>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97"/>
      <c r="AH263" s="369"/>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97"/>
      <c r="AH264" s="369"/>
    </row>
    <row r="265" spans="1:34" s="356" customFormat="1" ht="13.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95"/>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68"/>
      <c r="AH267" s="370"/>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68"/>
      <c r="AH268" s="370"/>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75"/>
      <c r="AH269" s="377"/>
    </row>
    <row r="270" spans="1:34" s="356" customFormat="1" ht="15.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75"/>
      <c r="AH270" s="381"/>
    </row>
    <row r="271" spans="1:34" s="356" customFormat="1" ht="15.7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5"/>
      <c r="AH271" s="370"/>
    </row>
    <row r="272" spans="1:34" s="356" customFormat="1" ht="12.75"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0"/>
      <c r="AH272" s="382"/>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1"/>
      <c r="AH273" s="382"/>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70"/>
      <c r="AH274" s="370"/>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2"/>
      <c r="AH275" s="383"/>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2"/>
      <c r="AH276" s="384"/>
    </row>
    <row r="277" spans="1:34" s="35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70"/>
      <c r="AH277" s="384"/>
    </row>
    <row r="278" spans="1:34" s="356" customFormat="1" ht="14.25" customHeigh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3"/>
      <c r="AH278" s="384"/>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c r="AH279" s="384"/>
    </row>
    <row r="280" spans="1:34" s="35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c r="AH280" s="384"/>
    </row>
    <row r="281" spans="1:34" s="376"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c r="AH281" s="384"/>
    </row>
    <row r="282" spans="1:34" s="376" customFormat="1" ht="12" customHeigh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s="376"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84"/>
    </row>
    <row r="284" spans="1:34" s="377" customFormat="1" ht="11.25" customHeigh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4"/>
    </row>
    <row r="285" spans="1:34" s="381"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72"/>
      <c r="AD285" s="370"/>
      <c r="AE285" s="374"/>
      <c r="AF285" s="370"/>
      <c r="AG285" s="384"/>
    </row>
    <row r="286" spans="1:34" x14ac:dyDescent="0.2">
      <c r="AG286" s="386"/>
    </row>
    <row r="287" spans="1:34" s="382"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8"/>
    </row>
    <row r="288" spans="1:34" s="382"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8"/>
    </row>
    <row r="289" spans="1:33" x14ac:dyDescent="0.2">
      <c r="AG289" s="388"/>
    </row>
    <row r="290" spans="1:33" x14ac:dyDescent="0.2">
      <c r="AG290" s="388"/>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90"/>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76"/>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6"/>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77"/>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81"/>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72"/>
      <c r="AD296" s="370"/>
      <c r="AE296" s="374"/>
      <c r="AF296" s="370"/>
      <c r="AG296" s="370"/>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72"/>
      <c r="AD297" s="370"/>
      <c r="AE297" s="374"/>
      <c r="AF297" s="370"/>
      <c r="AG297" s="382"/>
    </row>
    <row r="298" spans="1:33" s="385" customFormat="1" x14ac:dyDescent="0.2">
      <c r="A298" s="370"/>
      <c r="B298" s="370"/>
      <c r="C298" s="370"/>
      <c r="D298" s="370"/>
      <c r="E298" s="370"/>
      <c r="F298" s="370"/>
      <c r="G298" s="370"/>
      <c r="H298" s="370"/>
      <c r="I298" s="370"/>
      <c r="J298" s="370"/>
      <c r="K298" s="370"/>
      <c r="L298" s="370"/>
      <c r="O298" s="370"/>
      <c r="P298" s="370"/>
      <c r="Q298" s="370"/>
      <c r="R298" s="370"/>
      <c r="S298" s="370"/>
      <c r="T298" s="370"/>
      <c r="U298" s="370"/>
      <c r="V298" s="370"/>
      <c r="W298" s="370"/>
      <c r="X298" s="370"/>
      <c r="Y298" s="370"/>
      <c r="Z298" s="370"/>
      <c r="AA298" s="370"/>
      <c r="AB298" s="370"/>
      <c r="AC298" s="472"/>
      <c r="AD298" s="370"/>
      <c r="AE298" s="374"/>
      <c r="AF298" s="370"/>
      <c r="AG298" s="382"/>
    </row>
    <row r="300" spans="1:33" s="383"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70"/>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5"/>
    </row>
    <row r="307" spans="1:33" s="384"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5"/>
    </row>
    <row r="308" spans="1:33" s="387"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5"/>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70"/>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3"/>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4"/>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4"/>
    </row>
    <row r="317" spans="1:33" s="388" customFormat="1" ht="12.75" customHeigh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4"/>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7"/>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72"/>
      <c r="AD323" s="370"/>
      <c r="AE323" s="374"/>
      <c r="AF323" s="370"/>
      <c r="AG323" s="388"/>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72"/>
      <c r="AD324" s="370"/>
      <c r="AE324" s="374"/>
      <c r="AF324" s="370"/>
      <c r="AG324" s="388"/>
    </row>
    <row r="325" spans="1:33" s="391" customFormat="1" x14ac:dyDescent="0.2">
      <c r="A325" s="370"/>
      <c r="B325" s="370"/>
      <c r="C325" s="370"/>
      <c r="D325" s="370"/>
      <c r="E325" s="370"/>
      <c r="F325" s="370"/>
      <c r="G325" s="370"/>
      <c r="H325" s="370"/>
      <c r="I325" s="370"/>
      <c r="J325" s="370"/>
      <c r="K325" s="370"/>
      <c r="L325" s="370"/>
      <c r="M325" s="385"/>
      <c r="N325" s="385"/>
      <c r="O325" s="370"/>
      <c r="P325" s="370"/>
      <c r="Q325" s="370"/>
      <c r="R325" s="370"/>
      <c r="S325" s="370"/>
      <c r="T325" s="370"/>
      <c r="U325" s="370"/>
      <c r="V325" s="370"/>
      <c r="W325" s="370"/>
      <c r="X325" s="370"/>
      <c r="Y325" s="370"/>
      <c r="Z325" s="370"/>
      <c r="AA325" s="370"/>
      <c r="AB325" s="370"/>
      <c r="AC325" s="472"/>
      <c r="AD325" s="370"/>
      <c r="AE325" s="374"/>
      <c r="AF325" s="370"/>
      <c r="AG325" s="388"/>
    </row>
    <row r="326" spans="1:33" x14ac:dyDescent="0.2">
      <c r="AG326" s="388"/>
    </row>
    <row r="327" spans="1:33" x14ac:dyDescent="0.2">
      <c r="AG327" s="388"/>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row r="334" spans="1:33" x14ac:dyDescent="0.2">
      <c r="AG334" s="391"/>
    </row>
    <row r="335" spans="1:33" x14ac:dyDescent="0.2">
      <c r="AG335"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104</xdr:row>
                    <xdr:rowOff>171450</xdr:rowOff>
                  </from>
                  <to>
                    <xdr:col>12</xdr:col>
                    <xdr:colOff>95250</xdr:colOff>
                    <xdr:row>105</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3" activePane="bottomLeft" state="frozen"/>
      <selection pane="bottomLeft" activeCell="B58" sqref="B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73">
        <v>37212</v>
      </c>
      <c r="B1" s="600"/>
      <c r="C1" s="600"/>
      <c r="D1" s="600"/>
      <c r="E1" s="600"/>
      <c r="F1" s="600"/>
      <c r="G1" s="600"/>
      <c r="H1" s="600"/>
      <c r="I1" s="600"/>
      <c r="J1" s="600"/>
      <c r="K1" s="600"/>
      <c r="L1" s="600"/>
      <c r="M1" s="600"/>
      <c r="N1" s="600"/>
      <c r="O1" s="600"/>
      <c r="P1" s="600"/>
      <c r="Q1" s="600"/>
      <c r="R1" s="600"/>
      <c r="S1" s="600"/>
      <c r="T1" s="600"/>
      <c r="U1" s="600"/>
      <c r="V1" s="600"/>
      <c r="W1" s="600"/>
      <c r="X1" s="600"/>
      <c r="Y1" s="60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3" customFormat="1" ht="17.25" customHeight="1" thickBot="1" x14ac:dyDescent="0.3">
      <c r="A2" s="674"/>
      <c r="B2" s="504" t="s">
        <v>375</v>
      </c>
      <c r="C2" s="504" t="s">
        <v>375</v>
      </c>
      <c r="D2" s="504" t="s">
        <v>375</v>
      </c>
      <c r="E2" s="504" t="s">
        <v>375</v>
      </c>
      <c r="F2" s="504" t="s">
        <v>375</v>
      </c>
      <c r="G2" s="504" t="s">
        <v>375</v>
      </c>
      <c r="H2" s="504" t="s">
        <v>375</v>
      </c>
      <c r="I2" s="504" t="s">
        <v>375</v>
      </c>
      <c r="J2" s="504" t="s">
        <v>375</v>
      </c>
      <c r="K2" s="504" t="s">
        <v>375</v>
      </c>
      <c r="L2" s="504" t="s">
        <v>375</v>
      </c>
      <c r="M2" s="504" t="s">
        <v>375</v>
      </c>
      <c r="N2" s="504" t="s">
        <v>375</v>
      </c>
      <c r="O2" s="504" t="s">
        <v>375</v>
      </c>
      <c r="P2" s="504" t="s">
        <v>375</v>
      </c>
      <c r="Q2" s="504" t="s">
        <v>375</v>
      </c>
      <c r="R2" s="504" t="s">
        <v>375</v>
      </c>
      <c r="S2" s="504" t="s">
        <v>375</v>
      </c>
      <c r="T2" s="504" t="s">
        <v>375</v>
      </c>
      <c r="U2" s="504" t="s">
        <v>375</v>
      </c>
      <c r="V2" s="504" t="s">
        <v>375</v>
      </c>
      <c r="W2" s="504" t="s">
        <v>375</v>
      </c>
      <c r="X2" s="504" t="s">
        <v>375</v>
      </c>
      <c r="Y2" s="675" t="s">
        <v>375</v>
      </c>
      <c r="Z2" s="501"/>
      <c r="AA2" s="502"/>
      <c r="AB2" s="501"/>
      <c r="AC2" s="501"/>
      <c r="AD2" s="501"/>
      <c r="AE2" s="501"/>
      <c r="AF2" s="501"/>
      <c r="AG2" s="501"/>
      <c r="AH2" s="501"/>
      <c r="AI2" s="501"/>
      <c r="AJ2" s="501"/>
      <c r="AK2" s="501"/>
      <c r="AL2" s="501"/>
      <c r="AM2" s="501"/>
      <c r="AN2" s="501"/>
      <c r="AO2" s="501"/>
      <c r="AP2" s="501"/>
      <c r="AQ2" s="501"/>
      <c r="AR2" s="501"/>
      <c r="AS2" s="501"/>
      <c r="AT2" s="501"/>
      <c r="AU2" s="501"/>
      <c r="AV2" s="501"/>
      <c r="AW2" s="501"/>
      <c r="AX2" s="501"/>
      <c r="AY2" s="501"/>
      <c r="AZ2" s="501"/>
      <c r="BA2" s="501"/>
      <c r="BB2" s="501"/>
      <c r="BC2" s="501"/>
      <c r="BD2" s="501"/>
      <c r="BE2" s="501"/>
      <c r="BF2" s="501"/>
      <c r="BG2" s="501"/>
      <c r="BH2" s="501"/>
      <c r="BI2" s="501"/>
      <c r="BJ2" s="501"/>
      <c r="BK2" s="501"/>
      <c r="BL2" s="501"/>
      <c r="BM2" s="501"/>
      <c r="BN2" s="501"/>
      <c r="BO2" s="501"/>
      <c r="BP2" s="501"/>
      <c r="BQ2" s="501"/>
      <c r="BR2" s="501"/>
      <c r="BS2" s="501"/>
      <c r="BT2" s="501"/>
      <c r="BU2" s="501"/>
      <c r="BV2" s="501"/>
      <c r="BW2" s="501"/>
      <c r="BX2" s="501"/>
      <c r="BY2" s="501"/>
      <c r="BZ2" s="501"/>
      <c r="CA2" s="501"/>
      <c r="CB2" s="501"/>
      <c r="CC2" s="501"/>
      <c r="CD2" s="501"/>
      <c r="CE2" s="501"/>
      <c r="CF2" s="501"/>
      <c r="CG2" s="501"/>
      <c r="CH2" s="501"/>
      <c r="CI2" s="501"/>
      <c r="CJ2" s="501"/>
      <c r="CK2" s="501"/>
      <c r="CL2" s="501"/>
      <c r="CM2" s="501"/>
      <c r="CN2" s="501"/>
      <c r="CO2" s="501"/>
      <c r="CP2" s="501"/>
      <c r="CQ2" s="501"/>
      <c r="CR2" s="501"/>
      <c r="CS2" s="501"/>
      <c r="CT2" s="501"/>
      <c r="CU2" s="501"/>
      <c r="CV2" s="501"/>
      <c r="CW2" s="501"/>
      <c r="CX2" s="501"/>
      <c r="CY2" s="501"/>
      <c r="CZ2" s="501"/>
      <c r="DA2" s="501"/>
      <c r="DB2" s="501"/>
      <c r="DC2" s="501"/>
      <c r="DD2" s="501"/>
      <c r="DE2" s="501"/>
      <c r="DF2" s="501"/>
      <c r="DG2" s="501"/>
      <c r="DH2" s="501"/>
      <c r="DI2" s="501"/>
      <c r="DJ2" s="501"/>
      <c r="DK2" s="501"/>
      <c r="DL2" s="501"/>
      <c r="DM2" s="501"/>
      <c r="DN2" s="501"/>
      <c r="DO2" s="501"/>
      <c r="DP2" s="501"/>
      <c r="DQ2" s="501"/>
      <c r="DR2" s="501"/>
      <c r="DS2" s="501"/>
      <c r="DT2" s="501"/>
      <c r="DU2" s="501"/>
      <c r="DV2" s="501"/>
      <c r="DW2" s="501"/>
      <c r="DX2" s="501"/>
      <c r="DY2" s="501"/>
      <c r="DZ2" s="501"/>
      <c r="EA2" s="501"/>
      <c r="EB2" s="501"/>
      <c r="EC2" s="501"/>
      <c r="ED2" s="501"/>
      <c r="EE2" s="501"/>
      <c r="EF2" s="501"/>
      <c r="EG2" s="501"/>
      <c r="EH2" s="501"/>
      <c r="EI2" s="501"/>
      <c r="EJ2" s="501"/>
      <c r="EK2" s="501"/>
      <c r="EL2" s="501"/>
      <c r="EM2" s="501"/>
      <c r="EN2" s="501"/>
      <c r="EO2" s="501"/>
      <c r="EP2" s="501"/>
      <c r="EQ2" s="501"/>
      <c r="ER2" s="501"/>
      <c r="ES2" s="501"/>
      <c r="ET2" s="501"/>
      <c r="EU2" s="501"/>
      <c r="EV2" s="501"/>
      <c r="EW2" s="501"/>
      <c r="EX2" s="501"/>
      <c r="EY2" s="501"/>
      <c r="EZ2" s="501"/>
      <c r="FA2" s="501"/>
      <c r="FB2" s="501"/>
      <c r="FC2" s="501"/>
      <c r="FD2" s="501"/>
      <c r="FE2" s="501"/>
      <c r="FF2" s="501"/>
      <c r="FG2" s="501"/>
      <c r="FH2" s="501"/>
      <c r="FI2" s="501"/>
      <c r="FJ2" s="501"/>
      <c r="FK2" s="501"/>
      <c r="FL2" s="501"/>
      <c r="FM2" s="501"/>
      <c r="FN2" s="501"/>
      <c r="FO2" s="501"/>
      <c r="FP2" s="501"/>
      <c r="FQ2" s="501"/>
      <c r="FR2" s="501"/>
      <c r="FS2" s="501"/>
      <c r="FT2" s="501"/>
      <c r="FU2" s="501"/>
      <c r="FV2" s="501"/>
      <c r="FW2" s="501"/>
      <c r="FX2" s="501"/>
      <c r="FY2" s="501"/>
      <c r="FZ2" s="501"/>
      <c r="GA2" s="501"/>
      <c r="GB2" s="501"/>
      <c r="GC2" s="501"/>
      <c r="GD2" s="501"/>
      <c r="GE2" s="501"/>
      <c r="GF2" s="501"/>
      <c r="GG2" s="501"/>
      <c r="GH2" s="501"/>
      <c r="GI2" s="501"/>
      <c r="GJ2" s="501"/>
      <c r="GK2" s="501"/>
      <c r="GL2" s="501"/>
      <c r="GM2" s="501"/>
      <c r="GN2" s="501"/>
      <c r="GO2" s="501"/>
      <c r="GP2" s="501"/>
      <c r="GQ2" s="501"/>
      <c r="GR2" s="501"/>
      <c r="GS2" s="501"/>
      <c r="GT2" s="501"/>
      <c r="GU2" s="501"/>
      <c r="GV2" s="501"/>
      <c r="GW2" s="501"/>
      <c r="GX2" s="501"/>
      <c r="GY2" s="501"/>
      <c r="GZ2" s="501"/>
      <c r="HA2" s="501"/>
      <c r="HB2" s="501"/>
      <c r="HC2" s="501"/>
      <c r="HD2" s="501"/>
      <c r="HE2" s="501"/>
    </row>
    <row r="3" spans="1:213" ht="13.5" thickBot="1" x14ac:dyDescent="0.25">
      <c r="A3" s="555" t="s">
        <v>334</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0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603" t="s">
        <v>304</v>
      </c>
      <c r="B4" s="530">
        <v>609</v>
      </c>
      <c r="C4" s="530">
        <v>589</v>
      </c>
      <c r="D4" s="530">
        <v>571</v>
      </c>
      <c r="E4" s="530">
        <v>570</v>
      </c>
      <c r="F4" s="530">
        <v>572</v>
      </c>
      <c r="G4" s="530">
        <v>598</v>
      </c>
      <c r="H4" s="530">
        <v>604</v>
      </c>
      <c r="I4" s="530">
        <v>638</v>
      </c>
      <c r="J4" s="530">
        <v>657</v>
      </c>
      <c r="K4" s="530">
        <v>702</v>
      </c>
      <c r="L4" s="530">
        <v>714</v>
      </c>
      <c r="M4" s="530">
        <v>706</v>
      </c>
      <c r="N4" s="530">
        <v>714</v>
      </c>
      <c r="O4" s="530">
        <v>703</v>
      </c>
      <c r="P4" s="530">
        <v>701</v>
      </c>
      <c r="Q4" s="530">
        <v>703</v>
      </c>
      <c r="R4" s="530">
        <v>698</v>
      </c>
      <c r="S4" s="530">
        <v>766</v>
      </c>
      <c r="T4" s="530">
        <v>784</v>
      </c>
      <c r="U4" s="530">
        <v>771</v>
      </c>
      <c r="V4" s="530">
        <v>749</v>
      </c>
      <c r="W4" s="530">
        <v>720</v>
      </c>
      <c r="X4" s="531">
        <v>684</v>
      </c>
      <c r="Y4" s="531">
        <v>632</v>
      </c>
      <c r="Z4" s="354">
        <v>795.01</v>
      </c>
      <c r="AA4" s="354">
        <v>0</v>
      </c>
      <c r="AB4" s="354">
        <v>0</v>
      </c>
      <c r="AC4" s="354">
        <v>807.136666666667</v>
      </c>
      <c r="AD4" s="354">
        <v>0</v>
      </c>
      <c r="AE4" s="355">
        <v>0</v>
      </c>
      <c r="AF4" s="355">
        <v>821.04666666666697</v>
      </c>
      <c r="AG4" s="355">
        <v>0</v>
      </c>
      <c r="AH4" s="355">
        <v>0</v>
      </c>
      <c r="AI4" s="355">
        <v>822.11666666666702</v>
      </c>
      <c r="AJ4" s="355">
        <v>0</v>
      </c>
      <c r="AK4" s="355">
        <v>0</v>
      </c>
      <c r="AL4" s="355">
        <v>821.04666666666697</v>
      </c>
      <c r="AM4" s="355">
        <v>0</v>
      </c>
      <c r="AN4" s="355">
        <v>0</v>
      </c>
      <c r="AO4" s="355">
        <v>816.76666666666699</v>
      </c>
      <c r="AP4" s="355">
        <v>0</v>
      </c>
      <c r="AQ4" s="355">
        <v>0</v>
      </c>
      <c r="AR4" s="355">
        <v>805.71</v>
      </c>
      <c r="AS4" s="355">
        <v>0</v>
      </c>
      <c r="AT4" s="355">
        <v>0</v>
      </c>
      <c r="AU4" s="355">
        <v>797.15</v>
      </c>
      <c r="AV4" s="355">
        <v>0</v>
      </c>
      <c r="AW4" s="355">
        <v>0</v>
      </c>
      <c r="AX4" s="355">
        <v>792.87</v>
      </c>
      <c r="AY4" s="355">
        <v>0</v>
      </c>
      <c r="AZ4" s="355">
        <v>0</v>
      </c>
      <c r="BA4" s="355">
        <v>836.38333333333298</v>
      </c>
      <c r="BB4" s="355">
        <v>0</v>
      </c>
      <c r="BC4" s="355">
        <v>0</v>
      </c>
      <c r="BD4" s="355">
        <v>847.79666666666697</v>
      </c>
      <c r="BE4" s="355">
        <v>0</v>
      </c>
      <c r="BF4" s="355">
        <v>0</v>
      </c>
      <c r="BG4" s="355">
        <v>822.83</v>
      </c>
      <c r="BH4" s="355">
        <v>0</v>
      </c>
      <c r="BI4" s="355">
        <v>0</v>
      </c>
      <c r="BJ4" s="355">
        <v>803.92666666666696</v>
      </c>
      <c r="BK4" s="355">
        <v>0</v>
      </c>
      <c r="BL4" s="355">
        <v>0</v>
      </c>
      <c r="BM4" s="355">
        <v>762.19666666666706</v>
      </c>
      <c r="BN4" s="355">
        <v>0</v>
      </c>
      <c r="BO4" s="355">
        <v>0</v>
      </c>
      <c r="BP4" s="355">
        <v>716.9</v>
      </c>
      <c r="BQ4" s="355">
        <v>0</v>
      </c>
      <c r="BR4" s="355">
        <v>0</v>
      </c>
      <c r="BS4" s="355">
        <v>648.77666666666698</v>
      </c>
    </row>
    <row r="5" spans="1:213" s="161" customFormat="1" thickBot="1" x14ac:dyDescent="0.25">
      <c r="A5" s="604" t="s">
        <v>64</v>
      </c>
      <c r="B5" s="532">
        <f>Deals!F4</f>
        <v>20</v>
      </c>
      <c r="C5" s="532">
        <f>Deals!G4</f>
        <v>10</v>
      </c>
      <c r="D5" s="532">
        <f>Deals!H4</f>
        <v>10</v>
      </c>
      <c r="E5" s="532">
        <f>Deals!I4</f>
        <v>10</v>
      </c>
      <c r="F5" s="532">
        <f>Deals!J4</f>
        <v>10</v>
      </c>
      <c r="G5" s="532">
        <f>Deals!K4</f>
        <v>20</v>
      </c>
      <c r="H5" s="532">
        <f>Deals!L4</f>
        <v>20</v>
      </c>
      <c r="I5" s="532">
        <f>Deals!M4</f>
        <v>25</v>
      </c>
      <c r="J5" s="532">
        <v>25</v>
      </c>
      <c r="K5" s="532">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19">
        <f>Deals!AC4</f>
        <v>15</v>
      </c>
      <c r="Z5" s="160"/>
      <c r="AA5" s="162"/>
    </row>
    <row r="6" spans="1:213" s="161" customFormat="1" ht="12" x14ac:dyDescent="0.2">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thickBot="1" x14ac:dyDescent="0.25">
      <c r="A7" s="536" t="s">
        <v>26</v>
      </c>
      <c r="B7" s="505"/>
      <c r="C7" s="505"/>
      <c r="D7" s="505"/>
      <c r="E7" s="505"/>
      <c r="F7" s="505"/>
      <c r="G7" s="505"/>
      <c r="H7" s="505"/>
      <c r="I7" s="505"/>
      <c r="J7" s="505"/>
      <c r="K7" s="505"/>
      <c r="L7" s="505"/>
      <c r="M7" s="505"/>
      <c r="N7" s="505"/>
      <c r="O7" s="505">
        <v>0</v>
      </c>
      <c r="P7" s="505"/>
      <c r="Q7" s="505"/>
      <c r="R7" s="505"/>
      <c r="S7" s="505"/>
      <c r="T7" s="505"/>
      <c r="U7" s="505"/>
      <c r="V7" s="505"/>
      <c r="W7" s="505"/>
      <c r="X7" s="505"/>
      <c r="Y7" s="537"/>
      <c r="Z7" s="160"/>
      <c r="AA7" s="162"/>
    </row>
    <row r="8" spans="1:213" s="161" customFormat="1" ht="12" x14ac:dyDescent="0.2">
      <c r="A8" s="507" t="s">
        <v>252</v>
      </c>
      <c r="B8" s="508">
        <f t="array" aca="1" ref="B8" ca="1">SUM(IF((DelPoint= "4C")*(DType = "pre")*(OFFSET(DelPoint,0,B3+2)&lt;0),OFFSET(DelPoint,0,B3+2),0))</f>
        <v>-25</v>
      </c>
      <c r="C8" s="508">
        <f t="array" aca="1" ref="C8" ca="1">SUM(IF((DelPoint= "4C")*(DType = "pre")*(OFFSET(DelPoint,0,C3+2)&lt;0),OFFSET(DelPoint,0,C3+2),0))</f>
        <v>-25</v>
      </c>
      <c r="D8" s="508">
        <f t="array" aca="1" ref="D8" ca="1">SUM(IF((DelPoint= "4C")*(DType = "pre")*(OFFSET(DelPoint,0,D3+2)&lt;0),OFFSET(DelPoint,0,D3+2),0))</f>
        <v>-25</v>
      </c>
      <c r="E8" s="508">
        <f t="array" aca="1" ref="E8" ca="1">SUM(IF((DelPoint= "4C")*(DType = "pre")*(OFFSET(DelPoint,0,E3+2)&lt;0),OFFSET(DelPoint,0,E3+2),0))</f>
        <v>-25</v>
      </c>
      <c r="F8" s="508">
        <f t="array" aca="1" ref="F8" ca="1">SUM(IF((DelPoint= "4C")*(DType = "pre")*(OFFSET(DelPoint,0,F3+2)&lt;0),OFFSET(DelPoint,0,F3+2),0))</f>
        <v>-25</v>
      </c>
      <c r="G8" s="508">
        <f t="array" aca="1" ref="G8" ca="1">SUM(IF((DelPoint= "4C")*(DType = "pre")*(OFFSET(DelPoint,0,G3+2)&lt;0),OFFSET(DelPoint,0,G3+2),0))</f>
        <v>-25</v>
      </c>
      <c r="H8" s="508">
        <f t="array" aca="1" ref="H8" ca="1">SUM(IF((DelPoint= "4C")*(DType = "pre")*(OFFSET(DelPoint,0,H3+2)&lt;0),OFFSET(DelPoint,0,H3+2),0))</f>
        <v>-25</v>
      </c>
      <c r="I8" s="508">
        <f t="array" aca="1" ref="I8" ca="1">SUM(IF((DelPoint= "4C")*(DType = "pre")*(OFFSET(DelPoint,0,I3+2)&lt;0),OFFSET(DelPoint,0,I3+2),0))</f>
        <v>0</v>
      </c>
      <c r="J8" s="508">
        <f t="array" aca="1" ref="J8" ca="1">SUM(IF((DelPoint= "4C")*(DType = "pre")*(OFFSET(DelPoint,0,J3+2)&lt;0),OFFSET(DelPoint,0,J3+2),0))</f>
        <v>0</v>
      </c>
      <c r="K8" s="508">
        <f t="array" aca="1" ref="K8" ca="1">SUM(IF((DelPoint= "4C")*(DType = "pre")*(OFFSET(DelPoint,0,K3+2)&lt;0),OFFSET(DelPoint,0,K3+2),0))</f>
        <v>0</v>
      </c>
      <c r="L8" s="508">
        <f t="array" aca="1" ref="L8" ca="1">SUM(IF((DelPoint= "4C")*(DType = "pre")*(OFFSET(DelPoint,0,L3+2)&lt;0),OFFSET(DelPoint,0,L3+2),0))</f>
        <v>0</v>
      </c>
      <c r="M8" s="508">
        <f t="array" aca="1" ref="M8" ca="1">SUM(IF((DelPoint= "4C")*(DType = "pre")*(OFFSET(DelPoint,0,M3+2)&lt;0),OFFSET(DelPoint,0,M3+2),0))</f>
        <v>0</v>
      </c>
      <c r="N8" s="508">
        <f t="array" aca="1" ref="N8" ca="1">SUM(IF((DelPoint= "4C")*(DType = "pre")*(OFFSET(DelPoint,0,N3+2)&lt;0),OFFSET(DelPoint,0,N3+2),0))</f>
        <v>0</v>
      </c>
      <c r="O8" s="508">
        <f t="array" aca="1" ref="O8" ca="1">SUM(IF((DelPoint= "4C")*(DType = "pre")*(OFFSET(DelPoint,0,O3+2)&lt;0),OFFSET(DelPoint,0,O3+2),0))</f>
        <v>0</v>
      </c>
      <c r="P8" s="508">
        <f t="array" aca="1" ref="P8" ca="1">SUM(IF((DelPoint= "4C")*(DType = "pre")*(OFFSET(DelPoint,0,P3+2)&lt;0),OFFSET(DelPoint,0,P3+2),0))</f>
        <v>0</v>
      </c>
      <c r="Q8" s="508">
        <f t="array" aca="1" ref="Q8" ca="1">SUM(IF((DelPoint= "4C")*(DType = "pre")*(OFFSET(DelPoint,0,Q3+2)&lt;0),OFFSET(DelPoint,0,Q3+2),0))</f>
        <v>0</v>
      </c>
      <c r="R8" s="508">
        <f t="array" aca="1" ref="R8" ca="1">SUM(IF((DelPoint= "4C")*(DType = "pre")*(OFFSET(DelPoint,0,R3+2)&lt;0),OFFSET(DelPoint,0,R3+2),0))</f>
        <v>0</v>
      </c>
      <c r="S8" s="508">
        <f t="array" aca="1" ref="S8" ca="1">SUM(IF((DelPoint= "4C")*(DType = "pre")*(OFFSET(DelPoint,0,S3+2)&lt;0),OFFSET(DelPoint,0,S3+2),0))</f>
        <v>0</v>
      </c>
      <c r="T8" s="508">
        <f t="array" aca="1" ref="T8" ca="1">SUM(IF((DelPoint= "4C")*(DType = "pre")*(OFFSET(DelPoint,0,T3+2)&lt;0),OFFSET(DelPoint,0,T3+2),0))</f>
        <v>0</v>
      </c>
      <c r="U8" s="508">
        <f t="array" aca="1" ref="U8" ca="1">SUM(IF((DelPoint= "4C")*(DType = "pre")*(OFFSET(DelPoint,0,U3+2)&lt;0),OFFSET(DelPoint,0,U3+2),0))</f>
        <v>0</v>
      </c>
      <c r="V8" s="508">
        <f t="array" aca="1" ref="V8" ca="1">SUM(IF((DelPoint= "4C")*(DType = "pre")*(OFFSET(DelPoint,0,V3+2)&lt;0),OFFSET(DelPoint,0,V3+2),0))</f>
        <v>0</v>
      </c>
      <c r="W8" s="508">
        <f t="array" aca="1" ref="W8" ca="1">SUM(IF((DelPoint= "4C")*(DType = "pre")*(OFFSET(DelPoint,0,W3+2)&lt;0),OFFSET(DelPoint,0,W3+2),0))</f>
        <v>0</v>
      </c>
      <c r="X8" s="508">
        <f t="array" aca="1" ref="X8" ca="1">SUM(IF((DelPoint= "4C")*(DType = "pre")*(OFFSET(DelPoint,0,X3+2)&lt;0),OFFSET(DelPoint,0,X3+2),0))</f>
        <v>0</v>
      </c>
      <c r="Y8" s="508">
        <f t="array" aca="1" ref="Y8" ca="1">SUM(IF((DelPoint= "4C")*(DType = "pre")*(OFFSET(DelPoint,0,Y3+2)&lt;0),OFFSET(DelPoint,0,Y3+2),0))</f>
        <v>-25</v>
      </c>
      <c r="Z8" s="160"/>
      <c r="AA8" s="162"/>
    </row>
    <row r="9" spans="1:213" s="161" customFormat="1" ht="12" x14ac:dyDescent="0.2">
      <c r="A9" s="509"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5" t="s">
        <v>254</v>
      </c>
      <c r="B11" s="198">
        <f t="array" aca="1" ref="B11" ca="1">SUM(IF((DelPoint= "PV")*(DType = "pre")*(OFFSET(DelPoint,0,B3+2)&lt;0),OFFSET(DelPoint,0,B3+2),0))</f>
        <v>-50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6"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6" t="s">
        <v>303</v>
      </c>
      <c r="B13" s="553"/>
      <c r="C13" s="553"/>
      <c r="D13" s="553"/>
      <c r="E13" s="553"/>
      <c r="F13" s="553"/>
      <c r="G13" s="553"/>
      <c r="H13" s="553"/>
      <c r="I13" s="553"/>
      <c r="J13" s="553"/>
      <c r="K13" s="553"/>
      <c r="L13" s="553"/>
      <c r="M13" s="553"/>
      <c r="N13" s="553"/>
      <c r="O13" s="553"/>
      <c r="P13" s="553"/>
      <c r="Q13" s="553"/>
      <c r="R13" s="553"/>
      <c r="S13" s="553"/>
      <c r="T13" s="553"/>
      <c r="U13" s="553"/>
      <c r="V13" s="553"/>
      <c r="W13" s="553"/>
      <c r="X13" s="553"/>
      <c r="Y13" s="553"/>
      <c r="Z13" s="160"/>
      <c r="AA13" s="162"/>
    </row>
    <row r="14" spans="1:213" s="161" customFormat="1" ht="12" x14ac:dyDescent="0.2">
      <c r="A14" s="607"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8"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14">
        <f t="array" aca="1" ref="Y15" ca="1">SUM(IF((DelPoint= "hidalgo")*(DType = "pre")*(OFFSET(DelPoint,0,Y3+2)&lt;0),OFFSET(DelPoint,0,Y3+2),0))</f>
        <v>0</v>
      </c>
      <c r="Z15" s="160"/>
      <c r="AA15" s="162"/>
    </row>
    <row r="16" spans="1:213" s="161" customFormat="1" ht="12" x14ac:dyDescent="0.2">
      <c r="A16" s="609"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5">
        <f t="array" aca="1" ref="Y16" ca="1">SUM(IF((DelPoint= "hidalgo")*IF((DType = "firm")+(DType = "econ")&gt;0,1,0)*(OFFSET(DelPoint,0,Y3+2)&lt;0),OFFSET(DelPoint,0,Y3+2),0))</f>
        <v>0</v>
      </c>
      <c r="Z16" s="160"/>
      <c r="AA16" s="162"/>
    </row>
    <row r="17" spans="1:27" s="161" customFormat="1" ht="12" x14ac:dyDescent="0.2">
      <c r="A17" s="610" t="s">
        <v>276</v>
      </c>
      <c r="B17" s="495">
        <f ca="1">Deals!F5</f>
        <v>0</v>
      </c>
      <c r="C17" s="495">
        <f>Deals!G5</f>
        <v>0</v>
      </c>
      <c r="D17" s="495">
        <f>Deals!H5</f>
        <v>0</v>
      </c>
      <c r="E17" s="495">
        <f>Deals!I5</f>
        <v>0</v>
      </c>
      <c r="F17" s="495">
        <f>Deals!J5</f>
        <v>0</v>
      </c>
      <c r="G17" s="495">
        <f>Deals!K5</f>
        <v>0</v>
      </c>
      <c r="H17" s="495">
        <f>Deals!L5</f>
        <v>0</v>
      </c>
      <c r="I17" s="495">
        <f>Deals!M5</f>
        <v>0</v>
      </c>
      <c r="J17" s="495">
        <f>Deals!N5</f>
        <v>0</v>
      </c>
      <c r="K17" s="495">
        <f>Deals!O5</f>
        <v>0</v>
      </c>
      <c r="L17" s="495">
        <f>Deals!P5</f>
        <v>0</v>
      </c>
      <c r="M17" s="495">
        <f>Deals!Q5</f>
        <v>0</v>
      </c>
      <c r="N17" s="495">
        <f>Deals!R5</f>
        <v>0</v>
      </c>
      <c r="O17" s="495">
        <f>Deals!S5</f>
        <v>0</v>
      </c>
      <c r="P17" s="495">
        <f>Deals!T5</f>
        <v>0</v>
      </c>
      <c r="Q17" s="495">
        <f>Deals!U5</f>
        <v>0</v>
      </c>
      <c r="R17" s="495">
        <f>Deals!V5</f>
        <v>0</v>
      </c>
      <c r="S17" s="495">
        <f>Deals!W5</f>
        <v>0</v>
      </c>
      <c r="T17" s="495">
        <f>Deals!X5</f>
        <v>0</v>
      </c>
      <c r="U17" s="495">
        <f>Deals!Y5</f>
        <v>0</v>
      </c>
      <c r="V17" s="495">
        <f>Deals!Z5</f>
        <v>0</v>
      </c>
      <c r="W17" s="495">
        <f>Deals!AA5</f>
        <v>0</v>
      </c>
      <c r="X17" s="495">
        <f>Deals!AB5</f>
        <v>0</v>
      </c>
      <c r="Y17" s="498">
        <f>Deals!AC5</f>
        <v>0</v>
      </c>
      <c r="Z17" s="160"/>
      <c r="AA17" s="162"/>
    </row>
    <row r="18" spans="1:27" s="161" customFormat="1" ht="12" x14ac:dyDescent="0.2">
      <c r="A18" s="611" t="s">
        <v>251</v>
      </c>
      <c r="B18" s="495">
        <f>Deals!F7</f>
        <v>-103</v>
      </c>
      <c r="C18" s="495">
        <f>Deals!G7</f>
        <v>-103</v>
      </c>
      <c r="D18" s="495">
        <f>Deals!H7</f>
        <v>-103</v>
      </c>
      <c r="E18" s="495">
        <f>Deals!I7</f>
        <v>-103</v>
      </c>
      <c r="F18" s="495">
        <f>Deals!J7</f>
        <v>-103</v>
      </c>
      <c r="G18" s="495">
        <f>Deals!K7</f>
        <v>-103</v>
      </c>
      <c r="H18" s="495">
        <f>Deals!L7</f>
        <v>-103</v>
      </c>
      <c r="I18" s="495">
        <f>Deals!M7</f>
        <v>-103</v>
      </c>
      <c r="J18" s="495">
        <f>Deals!N7</f>
        <v>-103</v>
      </c>
      <c r="K18" s="495">
        <f>Deals!O7</f>
        <v>-103</v>
      </c>
      <c r="L18" s="495">
        <f>Deals!P7</f>
        <v>-103</v>
      </c>
      <c r="M18" s="495">
        <f>Deals!Q7</f>
        <v>-103</v>
      </c>
      <c r="N18" s="495">
        <f>Deals!R7</f>
        <v>-103</v>
      </c>
      <c r="O18" s="495">
        <f>Deals!S7</f>
        <v>-103</v>
      </c>
      <c r="P18" s="495">
        <f>Deals!T7</f>
        <v>-103</v>
      </c>
      <c r="Q18" s="495">
        <f>Deals!U7</f>
        <v>-103</v>
      </c>
      <c r="R18" s="495">
        <f>Deals!V7</f>
        <v>-103</v>
      </c>
      <c r="S18" s="495">
        <f>Deals!W7</f>
        <v>-103</v>
      </c>
      <c r="T18" s="495">
        <f>Deals!X7</f>
        <v>-103</v>
      </c>
      <c r="U18" s="495">
        <f>Deals!Y7</f>
        <v>-103</v>
      </c>
      <c r="V18" s="495">
        <f>Deals!Z7</f>
        <v>-103</v>
      </c>
      <c r="W18" s="495">
        <f>Deals!AA7</f>
        <v>-103</v>
      </c>
      <c r="X18" s="495">
        <f>Deals!AB7</f>
        <v>-103</v>
      </c>
      <c r="Y18" s="498">
        <f>Deals!AC7</f>
        <v>-103</v>
      </c>
      <c r="Z18" s="160"/>
      <c r="AA18" s="162"/>
    </row>
    <row r="19" spans="1:27" s="161" customFormat="1" ht="12" x14ac:dyDescent="0.2">
      <c r="A19" s="611"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6"/>
      <c r="Z19" s="160"/>
      <c r="AA19" s="162"/>
    </row>
    <row r="20" spans="1:27" s="161" customFormat="1" thickBot="1" x14ac:dyDescent="0.25">
      <c r="A20" s="612" t="s">
        <v>257</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6">
        <f t="array" aca="1" ref="Y20" ca="1">SUM(IF((DelPoint= "artesia")*IF((DType = "firm")+(DType = "econ")&gt;0,1,0)*(OFFSET(DelPoint,0,Y3+2)&lt;0),OFFSET(DelPoint,0,Y3+2),0))</f>
        <v>0</v>
      </c>
      <c r="Z20" s="160"/>
      <c r="AA20" s="162"/>
    </row>
    <row r="21" spans="1:27" s="161" customFormat="1" ht="12" x14ac:dyDescent="0.2">
      <c r="A21" s="554"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7"/>
      <c r="Z21" s="160"/>
      <c r="AA21" s="162"/>
    </row>
    <row r="22" spans="1:27" s="161" customFormat="1" ht="12" x14ac:dyDescent="0.2">
      <c r="A22" s="518" t="s">
        <v>120</v>
      </c>
      <c r="B22" s="418">
        <f ca="1">Deals!F3</f>
        <v>90</v>
      </c>
      <c r="C22" s="418">
        <f>Deals!G3</f>
        <v>70</v>
      </c>
      <c r="D22" s="418">
        <f>Deals!H3</f>
        <v>70</v>
      </c>
      <c r="E22" s="418">
        <f>Deals!I3</f>
        <v>70</v>
      </c>
      <c r="F22" s="418">
        <f>Deals!J3</f>
        <v>70</v>
      </c>
      <c r="G22" s="418">
        <f>Deals!K3</f>
        <v>70</v>
      </c>
      <c r="H22" s="418">
        <f>Deals!L3</f>
        <v>70</v>
      </c>
      <c r="I22" s="418">
        <f>Deals!M3</f>
        <v>70</v>
      </c>
      <c r="J22" s="418">
        <f>Deals!N3</f>
        <v>80</v>
      </c>
      <c r="K22" s="418">
        <f>Deals!O3</f>
        <v>100</v>
      </c>
      <c r="L22" s="418">
        <f>Deals!P3</f>
        <v>125</v>
      </c>
      <c r="M22" s="418">
        <f>Deals!Q3</f>
        <v>148</v>
      </c>
      <c r="N22" s="418">
        <f>Deals!R3</f>
        <v>148</v>
      </c>
      <c r="O22" s="418">
        <f>Deals!S3</f>
        <v>148</v>
      </c>
      <c r="P22" s="418">
        <f>Deals!T3</f>
        <v>148</v>
      </c>
      <c r="Q22" s="418">
        <f>Deals!U3</f>
        <v>125</v>
      </c>
      <c r="R22" s="418">
        <f>Deals!V3</f>
        <v>125</v>
      </c>
      <c r="S22" s="418">
        <f>Deals!W3</f>
        <v>125</v>
      </c>
      <c r="T22" s="418">
        <f>Deals!X3</f>
        <v>125</v>
      </c>
      <c r="U22" s="418">
        <f>Deals!Y3</f>
        <v>125</v>
      </c>
      <c r="V22" s="418">
        <f>Deals!Z3</f>
        <v>110</v>
      </c>
      <c r="W22" s="418">
        <f>Deals!AA3</f>
        <v>100</v>
      </c>
      <c r="X22" s="418">
        <f>Deals!AB3</f>
        <v>100</v>
      </c>
      <c r="Y22" s="418">
        <f>Deals!AC3</f>
        <v>100</v>
      </c>
      <c r="Z22" s="160"/>
      <c r="AA22" s="162"/>
    </row>
    <row r="23" spans="1:27" s="161" customFormat="1" ht="12" x14ac:dyDescent="0.2">
      <c r="A23" s="520" t="s">
        <v>305</v>
      </c>
      <c r="B23" s="202">
        <f>Deals!F18</f>
        <v>0</v>
      </c>
      <c r="C23" s="202">
        <f>Deals!G18</f>
        <v>0</v>
      </c>
      <c r="D23" s="202">
        <f>Deals!H18</f>
        <v>0</v>
      </c>
      <c r="E23" s="202">
        <f>Deals!I18</f>
        <v>0</v>
      </c>
      <c r="F23" s="202">
        <f>Deals!J18</f>
        <v>0</v>
      </c>
      <c r="G23" s="202">
        <f>Deals!K18</f>
        <v>0</v>
      </c>
      <c r="H23" s="202">
        <f>Deals!L18</f>
        <v>0</v>
      </c>
      <c r="I23" s="202">
        <f>Deals!M18</f>
        <v>0</v>
      </c>
      <c r="J23" s="202">
        <f>Deals!N18</f>
        <v>0</v>
      </c>
      <c r="K23" s="202">
        <f>Deals!O18</f>
        <v>0</v>
      </c>
      <c r="L23" s="202">
        <f>Deals!P18</f>
        <v>0</v>
      </c>
      <c r="M23" s="202">
        <f>Deals!Q18</f>
        <v>0</v>
      </c>
      <c r="N23" s="202">
        <f>Deals!R18</f>
        <v>0</v>
      </c>
      <c r="O23" s="202">
        <f>Deals!S18</f>
        <v>0</v>
      </c>
      <c r="P23" s="202">
        <f>Deals!T18</f>
        <v>0</v>
      </c>
      <c r="Q23" s="202">
        <f>Deals!U18</f>
        <v>0</v>
      </c>
      <c r="R23" s="202">
        <f>Deals!V18</f>
        <v>0</v>
      </c>
      <c r="S23" s="202">
        <f>Deals!W18</f>
        <v>0</v>
      </c>
      <c r="T23" s="202">
        <f>Deals!X18</f>
        <v>0</v>
      </c>
      <c r="U23" s="202">
        <f>Deals!Y18</f>
        <v>0</v>
      </c>
      <c r="V23" s="202">
        <f>Deals!Z18</f>
        <v>0</v>
      </c>
      <c r="W23" s="202">
        <f>Deals!AA18</f>
        <v>0</v>
      </c>
      <c r="X23" s="202">
        <f>Deals!AB18</f>
        <v>0</v>
      </c>
      <c r="Y23" s="202">
        <f>Deals!AC18</f>
        <v>0</v>
      </c>
      <c r="Z23" s="160"/>
      <c r="AA23" s="162"/>
    </row>
    <row r="24" spans="1:27" s="163" customFormat="1" ht="12" x14ac:dyDescent="0.2">
      <c r="A24" s="521"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22"/>
      <c r="Z24" s="347"/>
      <c r="AA24" s="164"/>
    </row>
    <row r="25" spans="1:27" s="161" customFormat="1" ht="12" x14ac:dyDescent="0.2">
      <c r="A25" s="509" t="s">
        <v>114</v>
      </c>
      <c r="B25" s="714">
        <f t="array" aca="1" ref="B25" ca="1">SUM(IF((DelPoint= "4C")*(DType = "pre")*(OFFSET(DelPoint,0,B3+2)&gt;0),OFFSET(DelPoint,0,B3+2),0))</f>
        <v>25</v>
      </c>
      <c r="C25" s="714">
        <f t="array" aca="1" ref="C25" ca="1">SUM(IF((DelPoint= "4C")*(DType = "pre")*(OFFSET(DelPoint,0,C3+2)&gt;0),OFFSET(DelPoint,0,C3+2),0))</f>
        <v>0</v>
      </c>
      <c r="D25" s="714">
        <f t="array" aca="1" ref="D25" ca="1">SUM(IF((DelPoint= "4C")*(DType = "pre")*(OFFSET(DelPoint,0,D3+2)&gt;0),OFFSET(DelPoint,0,D3+2),0))</f>
        <v>0</v>
      </c>
      <c r="E25" s="714">
        <f t="array" aca="1" ref="E25" ca="1">SUM(IF((DelPoint= "4C")*(DType = "pre")*(OFFSET(DelPoint,0,E3+2)&gt;0),OFFSET(DelPoint,0,E3+2),0))</f>
        <v>0</v>
      </c>
      <c r="F25" s="714">
        <f t="array" aca="1" ref="F25" ca="1">SUM(IF((DelPoint= "4C")*(DType = "pre")*(OFFSET(DelPoint,0,F3+2)&gt;0),OFFSET(DelPoint,0,F3+2),0))</f>
        <v>0</v>
      </c>
      <c r="G25" s="714">
        <f t="array" aca="1" ref="G25" ca="1">SUM(IF((DelPoint= "4C")*(DType = "pre")*(OFFSET(DelPoint,0,G3+2)&gt;0),OFFSET(DelPoint,0,G3+2),0))</f>
        <v>0</v>
      </c>
      <c r="H25" s="714">
        <f t="array" aca="1" ref="H25" ca="1">SUM(IF((DelPoint= "4C")*(DType = "pre")*(OFFSET(DelPoint,0,H3+2)&gt;0),OFFSET(DelPoint,0,H3+2),0))</f>
        <v>0</v>
      </c>
      <c r="I25" s="714">
        <f t="array" aca="1" ref="I25" ca="1">SUM(IF((DelPoint= "4C")*(DType = "pre")*(OFFSET(DelPoint,0,I3+2)&gt;0),OFFSET(DelPoint,0,I3+2),0))</f>
        <v>0</v>
      </c>
      <c r="J25" s="714">
        <f t="array" aca="1" ref="J25" ca="1">SUM(IF((DelPoint= "4C")*(DType = "pre")*(OFFSET(DelPoint,0,J3+2)&gt;0),OFFSET(DelPoint,0,J3+2),0))</f>
        <v>0</v>
      </c>
      <c r="K25" s="714">
        <f t="array" aca="1" ref="K25" ca="1">SUM(IF((DelPoint= "4C")*(DType = "pre")*(OFFSET(DelPoint,0,K3+2)&gt;0),OFFSET(DelPoint,0,K3+2),0))</f>
        <v>0</v>
      </c>
      <c r="L25" s="714">
        <f t="array" aca="1" ref="L25" ca="1">SUM(IF((DelPoint= "4C")*(DType = "pre")*(OFFSET(DelPoint,0,L3+2)&gt;0),OFFSET(DelPoint,0,L3+2),0))</f>
        <v>0</v>
      </c>
      <c r="M25" s="714">
        <f t="array" aca="1" ref="M25" ca="1">SUM(IF((DelPoint= "4C")*(DType = "pre")*(OFFSET(DelPoint,0,M3+2)&gt;0),OFFSET(DelPoint,0,M3+2),0))</f>
        <v>0</v>
      </c>
      <c r="N25" s="714">
        <f t="array" aca="1" ref="N25" ca="1">SUM(IF((DelPoint= "4C")*(DType = "pre")*(OFFSET(DelPoint,0,N3+2)&gt;0),OFFSET(DelPoint,0,N3+2),0))</f>
        <v>0</v>
      </c>
      <c r="O25" s="714">
        <f t="array" aca="1" ref="O25" ca="1">SUM(IF((DelPoint= "4C")*(DType = "pre")*(OFFSET(DelPoint,0,O3+2)&gt;0),OFFSET(DelPoint,0,O3+2),0))</f>
        <v>0</v>
      </c>
      <c r="P25" s="714">
        <f t="array" aca="1" ref="P25" ca="1">SUM(IF((DelPoint= "4C")*(DType = "pre")*(OFFSET(DelPoint,0,P3+2)&gt;0),OFFSET(DelPoint,0,P3+2),0))</f>
        <v>0</v>
      </c>
      <c r="Q25" s="714">
        <f t="array" aca="1" ref="Q25" ca="1">SUM(IF((DelPoint= "4C")*(DType = "pre")*(OFFSET(DelPoint,0,Q3+2)&gt;0),OFFSET(DelPoint,0,Q3+2),0))</f>
        <v>0</v>
      </c>
      <c r="R25" s="714">
        <f t="array" aca="1" ref="R25" ca="1">SUM(IF((DelPoint= "4C")*(DType = "pre")*(OFFSET(DelPoint,0,R3+2)&gt;0),OFFSET(DelPoint,0,R3+2),0))</f>
        <v>0</v>
      </c>
      <c r="S25" s="714">
        <f t="array" aca="1" ref="S25" ca="1">SUM(IF((DelPoint= "4C")*(DType = "pre")*(OFFSET(DelPoint,0,S3+2)&gt;0),OFFSET(DelPoint,0,S3+2),0))</f>
        <v>0</v>
      </c>
      <c r="T25" s="714">
        <f t="array" aca="1" ref="T25" ca="1">SUM(IF((DelPoint= "4C")*(DType = "pre")*(OFFSET(DelPoint,0,T3+2)&gt;0),OFFSET(DelPoint,0,T3+2),0))</f>
        <v>0</v>
      </c>
      <c r="U25" s="714">
        <f t="array" aca="1" ref="U25" ca="1">SUM(IF((DelPoint= "4C")*(DType = "pre")*(OFFSET(DelPoint,0,U3+2)&gt;0),OFFSET(DelPoint,0,U3+2),0))</f>
        <v>0</v>
      </c>
      <c r="V25" s="714">
        <f t="array" aca="1" ref="V25" ca="1">SUM(IF((DelPoint= "4C")*(DType = "pre")*(OFFSET(DelPoint,0,V3+2)&gt;0),OFFSET(DelPoint,0,V3+2),0))</f>
        <v>0</v>
      </c>
      <c r="W25" s="714">
        <f t="array" aca="1" ref="W25" ca="1">SUM(IF((DelPoint= "4C")*(DType = "pre")*(OFFSET(DelPoint,0,W3+2)&gt;0),OFFSET(DelPoint,0,W3+2),0))</f>
        <v>0</v>
      </c>
      <c r="X25" s="714">
        <f t="array" aca="1" ref="X25" ca="1">SUM(IF((DelPoint= "4C")*(DType = "pre")*(OFFSET(DelPoint,0,X3+2)&gt;0),OFFSET(DelPoint,0,X3+2),0))</f>
        <v>0</v>
      </c>
      <c r="Y25" s="714">
        <f t="array" aca="1" ref="Y25" ca="1">SUM(IF((DelPoint= "4C")*(DType = "pre")*(OFFSET(DelPoint,0,Y3+2)&gt;0),OFFSET(DelPoint,0,Y3+2),0))</f>
        <v>0</v>
      </c>
      <c r="Z25" s="160"/>
      <c r="AA25" s="162"/>
    </row>
    <row r="26" spans="1:27" s="161" customFormat="1" ht="12" x14ac:dyDescent="0.2">
      <c r="A26" s="509"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9"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10" t="s">
        <v>116</v>
      </c>
      <c r="B28" s="205">
        <f t="array" aca="1" ref="B28" ca="1">SUM(IF((DelPoint= "4C")*IF((DType = "firm")+(DType = "econ")&gt;0,1,0)*(OFFSET(DelPoint,0,B3+2)&gt;0),OFFSET(DelPoint,0,B3+2),0))</f>
        <v>50</v>
      </c>
      <c r="C28" s="205">
        <f t="array" aca="1" ref="C28" ca="1">SUM(IF((DelPoint= "4C")*IF((DType = "firm")+(DType = "econ")&gt;0,1,0)*(OFFSET(DelPoint,0,C3+2)&gt;0),OFFSET(DelPoint,0,C3+2),0))</f>
        <v>50</v>
      </c>
      <c r="D28" s="205">
        <f t="array" aca="1" ref="D28" ca="1">SUM(IF((DelPoint= "4C")*IF((DType = "firm")+(DType = "econ")&gt;0,1,0)*(OFFSET(DelPoint,0,D3+2)&gt;0),OFFSET(DelPoint,0,D3+2),0))</f>
        <v>50</v>
      </c>
      <c r="E28" s="205">
        <f t="array" aca="1" ref="E28" ca="1">SUM(IF((DelPoint= "4C")*IF((DType = "firm")+(DType = "econ")&gt;0,1,0)*(OFFSET(DelPoint,0,E3+2)&gt;0),OFFSET(DelPoint,0,E3+2),0))</f>
        <v>50</v>
      </c>
      <c r="F28" s="205">
        <f t="array" aca="1" ref="F28" ca="1">SUM(IF((DelPoint= "4C")*IF((DType = "firm")+(DType = "econ")&gt;0,1,0)*(OFFSET(DelPoint,0,F3+2)&gt;0),OFFSET(DelPoint,0,F3+2),0))</f>
        <v>50</v>
      </c>
      <c r="G28" s="205">
        <f t="array" aca="1" ref="G28" ca="1">SUM(IF((DelPoint= "4C")*IF((DType = "firm")+(DType = "econ")&gt;0,1,0)*(OFFSET(DelPoint,0,G3+2)&gt;0),OFFSET(DelPoint,0,G3+2),0))</f>
        <v>50</v>
      </c>
      <c r="H28" s="205">
        <f t="array" aca="1" ref="H28" ca="1">SUM(IF((DelPoint= "4C")*IF((DType = "firm")+(DType = "econ")&gt;0,1,0)*(OFFSET(DelPoint,0,H3+2)&gt;0),OFFSET(DelPoint,0,H3+2),0))</f>
        <v>50</v>
      </c>
      <c r="I28" s="205">
        <f t="array" aca="1" ref="I28" ca="1">SUM(IF((DelPoint= "4C")*IF((DType = "firm")+(DType = "econ")&gt;0,1,0)*(OFFSET(DelPoint,0,I3+2)&gt;0),OFFSET(DelPoint,0,I3+2),0))</f>
        <v>100</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25</v>
      </c>
      <c r="Y28" s="205">
        <f t="array" aca="1" ref="Y28" ca="1">SUM(IF((DelPoint= "4C")*IF((DType = "firm")+(DType = "econ")&gt;0,1,0)*(OFFSET(DelPoint,0,Y3+2)&gt;0),OFFSET(DelPoint,0,Y3+2),0))</f>
        <v>0</v>
      </c>
      <c r="Z28" s="160"/>
      <c r="AA28" s="162"/>
    </row>
    <row r="29" spans="1:27" s="161" customFormat="1" ht="12" x14ac:dyDescent="0.2">
      <c r="A29" s="511" t="s">
        <v>117</v>
      </c>
      <c r="B29" s="687">
        <f t="array" aca="1" ref="B29" ca="1">SUM(IF((DelPoint= "pv")*(DType = "pre")*(OFFSET(DelPoint,0,B3+2)&gt;0),OFFSET(DelPoint,0,B3+2),0))</f>
        <v>75</v>
      </c>
      <c r="C29" s="687">
        <f t="array" aca="1" ref="C29" ca="1">SUM(IF((DelPoint= "pv")*(DType = "pre")*(OFFSET(DelPoint,0,C3+2)&gt;0),OFFSET(DelPoint,0,C3+2),0))</f>
        <v>100</v>
      </c>
      <c r="D29" s="687">
        <f t="array" aca="1" ref="D29" ca="1">SUM(IF((DelPoint= "pv")*(DType = "pre")*(OFFSET(DelPoint,0,D3+2)&gt;0),OFFSET(DelPoint,0,D3+2),0))</f>
        <v>100</v>
      </c>
      <c r="E29" s="687">
        <f t="array" aca="1" ref="E29" ca="1">SUM(IF((DelPoint= "pv")*(DType = "pre")*(OFFSET(DelPoint,0,E3+2)&gt;0),OFFSET(DelPoint,0,E3+2),0))</f>
        <v>100</v>
      </c>
      <c r="F29" s="687">
        <f t="array" aca="1" ref="F29" ca="1">SUM(IF((DelPoint= "pv")*(DType = "pre")*(OFFSET(DelPoint,0,F3+2)&gt;0),OFFSET(DelPoint,0,F3+2),0))</f>
        <v>100</v>
      </c>
      <c r="G29" s="687">
        <f t="array" aca="1" ref="G29" ca="1">SUM(IF((DelPoint= "pv")*(DType = "pre")*(OFFSET(DelPoint,0,G3+2)&gt;0),OFFSET(DelPoint,0,G3+2),0))</f>
        <v>100</v>
      </c>
      <c r="H29" s="687">
        <f t="array" aca="1" ref="H29" ca="1">SUM(IF((DelPoint= "pv")*(DType = "pre")*(OFFSET(DelPoint,0,H3+2)&gt;0),OFFSET(DelPoint,0,H3+2),0))</f>
        <v>100</v>
      </c>
      <c r="I29" s="687">
        <f t="array" aca="1" ref="I29" ca="1">SUM(IF((DelPoint= "pv")*(DType = "pre")*(OFFSET(DelPoint,0,I3+2)&gt;0),OFFSET(DelPoint,0,I3+2),0))</f>
        <v>50</v>
      </c>
      <c r="J29" s="687">
        <f t="array" aca="1" ref="J29" ca="1">SUM(IF((DelPoint= "pv")*(DType = "pre")*(OFFSET(DelPoint,0,J3+2)&gt;0),OFFSET(DelPoint,0,J3+2),0))</f>
        <v>50</v>
      </c>
      <c r="K29" s="687">
        <f t="array" aca="1" ref="K29" ca="1">SUM(IF((DelPoint= "pv")*(DType = "pre")*(OFFSET(DelPoint,0,K3+2)&gt;0),OFFSET(DelPoint,0,K3+2),0))</f>
        <v>50</v>
      </c>
      <c r="L29" s="687">
        <f t="array" aca="1" ref="L29" ca="1">SUM(IF((DelPoint= "pv")*(DType = "pre")*(OFFSET(DelPoint,0,L3+2)&gt;0),OFFSET(DelPoint,0,L3+2),0))</f>
        <v>50</v>
      </c>
      <c r="M29" s="687">
        <f t="array" aca="1" ref="M29" ca="1">SUM(IF((DelPoint= "pv")*(DType = "pre")*(OFFSET(DelPoint,0,M3+2)&gt;0),OFFSET(DelPoint,0,M3+2),0))</f>
        <v>50</v>
      </c>
      <c r="N29" s="687">
        <f t="array" aca="1" ref="N29" ca="1">SUM(IF((DelPoint= "pv")*(DType = "pre")*(OFFSET(DelPoint,0,N3+2)&gt;0),OFFSET(DelPoint,0,N3+2),0))</f>
        <v>50</v>
      </c>
      <c r="O29" s="687">
        <f t="array" aca="1" ref="O29" ca="1">SUM(IF((DelPoint= "pv")*(DType = "pre")*(OFFSET(DelPoint,0,O3+2)&gt;0),OFFSET(DelPoint,0,O3+2),0))</f>
        <v>50</v>
      </c>
      <c r="P29" s="687">
        <f t="array" aca="1" ref="P29" ca="1">SUM(IF((DelPoint= "pv")*(DType = "pre")*(OFFSET(DelPoint,0,P3+2)&gt;0),OFFSET(DelPoint,0,P3+2),0))</f>
        <v>50</v>
      </c>
      <c r="Q29" s="687">
        <f t="array" aca="1" ref="Q29" ca="1">SUM(IF((DelPoint= "pv")*(DType = "pre")*(OFFSET(DelPoint,0,Q3+2)&gt;0),OFFSET(DelPoint,0,Q3+2),0))</f>
        <v>50</v>
      </c>
      <c r="R29" s="687">
        <f t="array" aca="1" ref="R29" ca="1">SUM(IF((DelPoint= "pv")*(DType = "pre")*(OFFSET(DelPoint,0,R3+2)&gt;0),OFFSET(DelPoint,0,R3+2),0))</f>
        <v>50</v>
      </c>
      <c r="S29" s="687">
        <f t="array" aca="1" ref="S29" ca="1">SUM(IF((DelPoint= "pv")*(DType = "pre")*(OFFSET(DelPoint,0,S3+2)&gt;0),OFFSET(DelPoint,0,S3+2),0))</f>
        <v>50</v>
      </c>
      <c r="T29" s="687">
        <f t="array" aca="1" ref="T29" ca="1">SUM(IF((DelPoint= "pv")*(DType = "pre")*(OFFSET(DelPoint,0,T3+2)&gt;0),OFFSET(DelPoint,0,T3+2),0))</f>
        <v>50</v>
      </c>
      <c r="U29" s="687">
        <f t="array" aca="1" ref="U29" ca="1">SUM(IF((DelPoint= "pv")*(DType = "pre")*(OFFSET(DelPoint,0,U3+2)&gt;0),OFFSET(DelPoint,0,U3+2),0))</f>
        <v>50</v>
      </c>
      <c r="V29" s="687">
        <f t="array" aca="1" ref="V29" ca="1">SUM(IF((DelPoint= "pv")*(DType = "pre")*(OFFSET(DelPoint,0,V3+2)&gt;0),OFFSET(DelPoint,0,V3+2),0))</f>
        <v>50</v>
      </c>
      <c r="W29" s="687">
        <f t="array" aca="1" ref="W29" ca="1">SUM(IF((DelPoint= "pv")*(DType = "pre")*(OFFSET(DelPoint,0,W3+2)&gt;0),OFFSET(DelPoint,0,W3+2),0))</f>
        <v>50</v>
      </c>
      <c r="X29" s="687">
        <f t="array" aca="1" ref="X29" ca="1">SUM(IF((DelPoint= "pv")*(DType = "pre")*(OFFSET(DelPoint,0,X3+2)&gt;0),OFFSET(DelPoint,0,X3+2),0))</f>
        <v>50</v>
      </c>
      <c r="Y29" s="687">
        <f t="array" aca="1" ref="Y29" ca="1">SUM(IF((DelPoint= "pv")*(DType = "pre")*(OFFSET(DelPoint,0,Y3+2)&gt;0),OFFSET(DelPoint,0,Y3+2),0))</f>
        <v>100</v>
      </c>
      <c r="Z29" s="160"/>
      <c r="AA29" s="162"/>
    </row>
    <row r="30" spans="1:27" s="161" customFormat="1" ht="12" x14ac:dyDescent="0.2">
      <c r="A30" s="511" t="s">
        <v>118</v>
      </c>
      <c r="B30" s="715">
        <f t="shared" ref="B30:Y30" ca="1" si="1">SUMIF(OFFSET(PVBalancingVol,B$3,0),"&gt;0")</f>
        <v>0</v>
      </c>
      <c r="C30" s="715">
        <f t="shared" ca="1" si="1"/>
        <v>0</v>
      </c>
      <c r="D30" s="715">
        <f t="shared" ca="1" si="1"/>
        <v>0</v>
      </c>
      <c r="E30" s="715">
        <f t="shared" ca="1" si="1"/>
        <v>0</v>
      </c>
      <c r="F30" s="715">
        <f t="shared" ca="1" si="1"/>
        <v>0</v>
      </c>
      <c r="G30" s="715">
        <f t="shared" ca="1" si="1"/>
        <v>0</v>
      </c>
      <c r="H30" s="715">
        <f t="shared" ca="1" si="1"/>
        <v>0</v>
      </c>
      <c r="I30" s="715">
        <f t="shared" ca="1" si="1"/>
        <v>0</v>
      </c>
      <c r="J30" s="715">
        <f t="shared" ca="1" si="1"/>
        <v>0</v>
      </c>
      <c r="K30" s="715">
        <f t="shared" ca="1" si="1"/>
        <v>0</v>
      </c>
      <c r="L30" s="715">
        <f t="shared" ca="1" si="1"/>
        <v>0</v>
      </c>
      <c r="M30" s="715">
        <f t="shared" ca="1" si="1"/>
        <v>0</v>
      </c>
      <c r="N30" s="715">
        <f t="shared" ca="1" si="1"/>
        <v>0</v>
      </c>
      <c r="O30" s="715">
        <f t="shared" ca="1" si="1"/>
        <v>0</v>
      </c>
      <c r="P30" s="715">
        <f t="shared" ca="1" si="1"/>
        <v>0</v>
      </c>
      <c r="Q30" s="715">
        <f t="shared" ca="1" si="1"/>
        <v>0</v>
      </c>
      <c r="R30" s="715">
        <f t="shared" ca="1" si="1"/>
        <v>0</v>
      </c>
      <c r="S30" s="715">
        <f t="shared" ca="1" si="1"/>
        <v>0</v>
      </c>
      <c r="T30" s="715">
        <f t="shared" ca="1" si="1"/>
        <v>0</v>
      </c>
      <c r="U30" s="715">
        <f t="shared" ca="1" si="1"/>
        <v>0</v>
      </c>
      <c r="V30" s="715">
        <f t="shared" ca="1" si="1"/>
        <v>0</v>
      </c>
      <c r="W30" s="715">
        <f t="shared" ca="1" si="1"/>
        <v>0</v>
      </c>
      <c r="X30" s="715">
        <f t="shared" ca="1" si="1"/>
        <v>0</v>
      </c>
      <c r="Y30" s="715">
        <f t="shared" ca="1" si="1"/>
        <v>0</v>
      </c>
      <c r="Z30" s="160"/>
      <c r="AA30" s="162"/>
    </row>
    <row r="31" spans="1:27" s="161" customFormat="1" ht="12" x14ac:dyDescent="0.2">
      <c r="A31" s="511" t="s">
        <v>303</v>
      </c>
      <c r="B31" s="553">
        <f ca="1">SUM(Deals!F9:'Deals'!F18)</f>
        <v>103</v>
      </c>
      <c r="C31" s="553">
        <f ca="1">SUM(Deals!G9:'Deals'!G18)</f>
        <v>103</v>
      </c>
      <c r="D31" s="553">
        <f ca="1">SUM(Deals!H9:'Deals'!H18)</f>
        <v>103</v>
      </c>
      <c r="E31" s="553">
        <f ca="1">SUM(Deals!I9:'Deals'!I18)</f>
        <v>103</v>
      </c>
      <c r="F31" s="553">
        <f ca="1">SUM(Deals!J9:'Deals'!J18)</f>
        <v>103</v>
      </c>
      <c r="G31" s="553">
        <f ca="1">SUM(Deals!K9:'Deals'!K18)</f>
        <v>103</v>
      </c>
      <c r="H31" s="553">
        <f ca="1">SUM(Deals!L9:'Deals'!L18)</f>
        <v>103</v>
      </c>
      <c r="I31" s="553">
        <f ca="1">SUM(Deals!M9:'Deals'!M18)</f>
        <v>0</v>
      </c>
      <c r="J31" s="553">
        <f ca="1">SUM(Deals!N9:'Deals'!N18)</f>
        <v>0</v>
      </c>
      <c r="K31" s="553">
        <f ca="1">SUM(Deals!O9:'Deals'!O18)</f>
        <v>0</v>
      </c>
      <c r="L31" s="553">
        <f ca="1">SUM(Deals!P9:'Deals'!P18)</f>
        <v>0</v>
      </c>
      <c r="M31" s="553">
        <f ca="1">SUM(Deals!Q9:'Deals'!Q18)</f>
        <v>0</v>
      </c>
      <c r="N31" s="553">
        <f ca="1">SUM(Deals!R9:'Deals'!R18)</f>
        <v>0</v>
      </c>
      <c r="O31" s="553">
        <f ca="1">SUM(Deals!S9:'Deals'!S18)</f>
        <v>0</v>
      </c>
      <c r="P31" s="553">
        <f ca="1">SUM(Deals!T9:'Deals'!T18)</f>
        <v>0</v>
      </c>
      <c r="Q31" s="553">
        <f ca="1">SUM(Deals!U9:'Deals'!U18)</f>
        <v>0</v>
      </c>
      <c r="R31" s="553">
        <f ca="1">SUM(Deals!V9:'Deals'!V18)</f>
        <v>0</v>
      </c>
      <c r="S31" s="553">
        <f ca="1">SUM(Deals!W9:'Deals'!W18)</f>
        <v>0</v>
      </c>
      <c r="T31" s="553">
        <f ca="1">SUM(Deals!X9:'Deals'!X18)</f>
        <v>0</v>
      </c>
      <c r="U31" s="553">
        <f ca="1">SUM(Deals!Y9:'Deals'!Y18)</f>
        <v>0</v>
      </c>
      <c r="V31" s="553">
        <f ca="1">SUM(Deals!Z9:'Deals'!Z18)</f>
        <v>0</v>
      </c>
      <c r="W31" s="553">
        <f ca="1">SUM(Deals!AA9:'Deals'!AA18)</f>
        <v>0</v>
      </c>
      <c r="X31" s="553">
        <f ca="1">SUM(Deals!AB9:'Deals'!AB18)</f>
        <v>0</v>
      </c>
      <c r="Y31" s="553">
        <f ca="1">SUM(Deals!AC9:'Deals'!AC18)</f>
        <v>103</v>
      </c>
      <c r="Z31" s="160"/>
      <c r="AA31" s="162"/>
    </row>
    <row r="32" spans="1:27" s="161" customFormat="1" ht="12" x14ac:dyDescent="0.2">
      <c r="A32" s="512" t="s">
        <v>119</v>
      </c>
      <c r="B32" s="618">
        <f t="array" aca="1" ref="B32" ca="1">SUM(IF((DelPoint= "PV")*IF((DType = "firm")+(DType = "econ")&gt;0,1,0)*(OFFSET(DelPoint,0,B3+2)&gt;0),OFFSET(DelPoint,0,B3+2),0))</f>
        <v>0</v>
      </c>
      <c r="C32" s="618">
        <f t="array" aca="1" ref="C32" ca="1">SUM(IF((DelPoint= "PV")*IF((DType = "firm")+(DType = "econ")&gt;0,1,0)*(OFFSET(DelPoint,0,C3+2)&gt;0),OFFSET(DelPoint,0,C3+2),0))</f>
        <v>0</v>
      </c>
      <c r="D32" s="618">
        <f t="array" aca="1" ref="D32" ca="1">SUM(IF((DelPoint= "PV")*IF((DType = "firm")+(DType = "econ")&gt;0,1,0)*(OFFSET(DelPoint,0,D3+2)&gt;0),OFFSET(DelPoint,0,D3+2),0))</f>
        <v>0</v>
      </c>
      <c r="E32" s="618">
        <f t="array" aca="1" ref="E32" ca="1">SUM(IF((DelPoint= "PV")*IF((DType = "firm")+(DType = "econ")&gt;0,1,0)*(OFFSET(DelPoint,0,E3+2)&gt;0),OFFSET(DelPoint,0,E3+2),0))</f>
        <v>0</v>
      </c>
      <c r="F32" s="618">
        <f t="array" aca="1" ref="F32" ca="1">SUM(IF((DelPoint= "PV")*IF((DType = "firm")+(DType = "econ")&gt;0,1,0)*(OFFSET(DelPoint,0,F3+2)&gt;0),OFFSET(DelPoint,0,F3+2),0))</f>
        <v>0</v>
      </c>
      <c r="G32" s="618">
        <f t="array" aca="1" ref="G32" ca="1">SUM(IF((DelPoint= "PV")*IF((DType = "firm")+(DType = "econ")&gt;0,1,0)*(OFFSET(DelPoint,0,G3+2)&gt;0),OFFSET(DelPoint,0,G3+2),0))</f>
        <v>0</v>
      </c>
      <c r="H32" s="618">
        <f t="array" aca="1" ref="H32" ca="1">SUM(IF((DelPoint= "PV")*IF((DType = "firm")+(DType = "econ")&gt;0,1,0)*(OFFSET(DelPoint,0,H3+2)&gt;0),OFFSET(DelPoint,0,H3+2),0))</f>
        <v>0</v>
      </c>
      <c r="I32" s="618">
        <f t="array" aca="1" ref="I32" ca="1">SUM(IF((DelPoint= "PV")*IF((DType = "firm")+(DType = "econ")&gt;0,1,0)*(OFFSET(DelPoint,0,I3+2)&gt;0),OFFSET(DelPoint,0,I3+2),0))</f>
        <v>0</v>
      </c>
      <c r="J32" s="618">
        <f t="array" aca="1" ref="J32" ca="1">SUM(IF((DelPoint= "PV")*IF((DType = "firm")+(DType = "econ")&gt;0,1,0)*(OFFSET(DelPoint,0,J3+2)&gt;0),OFFSET(DelPoint,0,J3+2),0))</f>
        <v>0</v>
      </c>
      <c r="K32" s="618">
        <f t="array" aca="1" ref="K32" ca="1">SUM(IF((DelPoint= "PV")*IF((DType = "firm")+(DType = "econ")&gt;0,1,0)*(OFFSET(DelPoint,0,K3+2)&gt;0),OFFSET(DelPoint,0,K3+2),0))</f>
        <v>0</v>
      </c>
      <c r="L32" s="618">
        <f t="array" aca="1" ref="L32" ca="1">SUM(IF((DelPoint= "PV")*IF((DType = "firm")+(DType = "econ")&gt;0,1,0)*(OFFSET(DelPoint,0,L3+2)&gt;0),OFFSET(DelPoint,0,L3+2),0))</f>
        <v>0</v>
      </c>
      <c r="M32" s="618">
        <f t="array" aca="1" ref="M32" ca="1">SUM(IF((DelPoint= "PV")*IF((DType = "firm")+(DType = "econ")&gt;0,1,0)*(OFFSET(DelPoint,0,M3+2)&gt;0),OFFSET(DelPoint,0,M3+2),0))</f>
        <v>0</v>
      </c>
      <c r="N32" s="618">
        <f t="array" aca="1" ref="N32" ca="1">SUM(IF((DelPoint= "PV")*IF((DType = "firm")+(DType = "econ")&gt;0,1,0)*(OFFSET(DelPoint,0,N3+2)&gt;0),OFFSET(DelPoint,0,N3+2),0))</f>
        <v>0</v>
      </c>
      <c r="O32" s="618">
        <f t="array" aca="1" ref="O32" ca="1">SUM(IF((DelPoint= "PV")*IF((DType = "firm")+(DType = "econ")&gt;0,1,0)*(OFFSET(DelPoint,0,O3+2)&gt;0),OFFSET(DelPoint,0,O3+2),0))</f>
        <v>0</v>
      </c>
      <c r="P32" s="618">
        <f t="array" aca="1" ref="P32" ca="1">SUM(IF((DelPoint= "PV")*IF((DType = "firm")+(DType = "econ")&gt;0,1,0)*(OFFSET(DelPoint,0,P3+2)&gt;0),OFFSET(DelPoint,0,P3+2),0))</f>
        <v>0</v>
      </c>
      <c r="Q32" s="618">
        <f t="array" aca="1" ref="Q32" ca="1">SUM(IF((DelPoint= "PV")*IF((DType = "firm")+(DType = "econ")&gt;0,1,0)*(OFFSET(DelPoint,0,Q3+2)&gt;0),OFFSET(DelPoint,0,Q3+2),0))</f>
        <v>0</v>
      </c>
      <c r="R32" s="618">
        <f t="array" aca="1" ref="R32" ca="1">SUM(IF((DelPoint= "PV")*IF((DType = "firm")+(DType = "econ")&gt;0,1,0)*(OFFSET(DelPoint,0,R3+2)&gt;0),OFFSET(DelPoint,0,R3+2),0))</f>
        <v>0</v>
      </c>
      <c r="S32" s="618">
        <f t="array" aca="1" ref="S32" ca="1">SUM(IF((DelPoint= "PV")*IF((DType = "firm")+(DType = "econ")&gt;0,1,0)*(OFFSET(DelPoint,0,S3+2)&gt;0),OFFSET(DelPoint,0,S3+2),0))</f>
        <v>0</v>
      </c>
      <c r="T32" s="618">
        <f t="array" aca="1" ref="T32" ca="1">SUM(IF((DelPoint= "PV")*IF((DType = "firm")+(DType = "econ")&gt;0,1,0)*(OFFSET(DelPoint,0,T3+2)&gt;0),OFFSET(DelPoint,0,T3+2),0))</f>
        <v>0</v>
      </c>
      <c r="U32" s="618">
        <f t="array" aca="1" ref="U32" ca="1">SUM(IF((DelPoint= "PV")*IF((DType = "firm")+(DType = "econ")&gt;0,1,0)*(OFFSET(DelPoint,0,U3+2)&gt;0),OFFSET(DelPoint,0,U3+2),0))</f>
        <v>0</v>
      </c>
      <c r="V32" s="618">
        <f t="array" aca="1" ref="V32" ca="1">SUM(IF((DelPoint= "PV")*IF((DType = "firm")+(DType = "econ")&gt;0,1,0)*(OFFSET(DelPoint,0,V3+2)&gt;0),OFFSET(DelPoint,0,V3+2),0))</f>
        <v>0</v>
      </c>
      <c r="W32" s="618">
        <f t="array" aca="1" ref="W32" ca="1">SUM(IF((DelPoint= "PV")*IF((DType = "firm")+(DType = "econ")&gt;0,1,0)*(OFFSET(DelPoint,0,W3+2)&gt;0),OFFSET(DelPoint,0,W3+2),0))</f>
        <v>0</v>
      </c>
      <c r="X32" s="618">
        <f t="array" aca="1" ref="X32" ca="1">SUM(IF((DelPoint= "PV")*IF((DType = "firm")+(DType = "econ")&gt;0,1,0)*(OFFSET(DelPoint,0,X3+2)&gt;0),OFFSET(DelPoint,0,X3+2),0))</f>
        <v>0</v>
      </c>
      <c r="Y32" s="618">
        <f t="array" aca="1" ref="Y32" ca="1">SUM(IF((DelPoint= "PV")*IF((DType = "firm")+(DType = "econ")&gt;0,1,0)*(OFFSET(DelPoint,0,Y3+2)&gt;0),OFFSET(DelPoint,0,Y3+2),0))</f>
        <v>0</v>
      </c>
      <c r="Z32" s="160"/>
      <c r="AA32" s="162"/>
    </row>
    <row r="33" spans="1:33" s="161" customFormat="1" ht="12" x14ac:dyDescent="0.2">
      <c r="A33" s="513"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703">
        <f t="array" aca="1" ref="I33" ca="1">SUM(IF((DelPoint= "4C")*(DType = "pre")*(OFFSET(DelPoint,0,I9+2)&gt;0),OFFSET(DelPoint,0,I9+2),0))</f>
        <v>0</v>
      </c>
      <c r="J33" s="704">
        <f t="array" aca="1" ref="J33" ca="1">SUM(IF((DelPoint= "hidalgo")*(DType = "pre")*(OFFSET(DelPoint,0,J3+2)&gt;0),OFFSET(DelPoint,0,J3+2),0))</f>
        <v>0</v>
      </c>
      <c r="K33" s="704">
        <f t="array" aca="1" ref="K33" ca="1">SUM(IF((DelPoint= "hidalgo")*(DType = "pre")*(OFFSET(DelPoint,0,K3+2)&gt;0),OFFSET(DelPoint,0,K3+2),0))</f>
        <v>0</v>
      </c>
      <c r="L33" s="704">
        <f t="array" aca="1" ref="L33" ca="1">SUM(IF((DelPoint= "hidalgo")*(DType = "pre")*(OFFSET(DelPoint,0,L3+2)&gt;0),OFFSET(DelPoint,0,L3+2),0))</f>
        <v>0</v>
      </c>
      <c r="M33" s="704">
        <f t="array" aca="1" ref="M33" ca="1">SUM(IF((DelPoint= "hidalgo")*(DType = "pre")*(OFFSET(DelPoint,0,M3+2)&gt;0),OFFSET(DelPoint,0,M3+2),0))</f>
        <v>0</v>
      </c>
      <c r="N33" s="704">
        <f t="array" aca="1" ref="N33" ca="1">SUM(IF((DelPoint= "hidalgo")*(DType = "pre")*(OFFSET(DelPoint,0,N3+2)&gt;0),OFFSET(DelPoint,0,N3+2),0))</f>
        <v>0</v>
      </c>
      <c r="O33" s="704">
        <f t="array" aca="1" ref="O33" ca="1">SUM(IF((DelPoint= "hidalgo")*(DType = "pre")*(OFFSET(DelPoint,0,O3+2)&gt;0),OFFSET(DelPoint,0,O3+2),0))</f>
        <v>0</v>
      </c>
      <c r="P33" s="704">
        <f t="array" aca="1" ref="P33" ca="1">SUM(IF((DelPoint= "hidalgo")*(DType = "pre")*(OFFSET(DelPoint,0,P3+2)&gt;0),OFFSET(DelPoint,0,P3+2),0))</f>
        <v>0</v>
      </c>
      <c r="Q33" s="704">
        <f t="array" aca="1" ref="Q33" ca="1">SUM(IF((DelPoint= "hidalgo")*(DType = "pre")*(OFFSET(DelPoint,0,Q3+2)&gt;0),OFFSET(DelPoint,0,Q3+2),0))</f>
        <v>0</v>
      </c>
      <c r="R33" s="704">
        <f t="array" aca="1" ref="R33" ca="1">SUM(IF((DelPoint= "hidalgo")*(DType = "pre")*(OFFSET(DelPoint,0,R3+2)&gt;0),OFFSET(DelPoint,0,R3+2),0))</f>
        <v>0</v>
      </c>
      <c r="S33" s="704">
        <f t="array" aca="1" ref="S33" ca="1">SUM(IF((DelPoint= "hidalgo")*(DType = "pre")*(OFFSET(DelPoint,0,S3+2)&gt;0),OFFSET(DelPoint,0,S3+2),0))</f>
        <v>0</v>
      </c>
      <c r="T33" s="704">
        <f t="array" aca="1" ref="T33" ca="1">SUM(IF((DelPoint= "hidalgo")*(DType = "pre")*(OFFSET(DelPoint,0,T3+2)&gt;0),OFFSET(DelPoint,0,T3+2),0))</f>
        <v>0</v>
      </c>
      <c r="U33" s="704">
        <f t="array" aca="1" ref="U33" ca="1">SUM(IF((DelPoint= "hidalgo")*(DType = "pre")*(OFFSET(DelPoint,0,U3+2)&gt;0),OFFSET(DelPoint,0,U3+2),0))</f>
        <v>0</v>
      </c>
      <c r="V33" s="704">
        <f t="array" aca="1" ref="V33" ca="1">SUM(IF((DelPoint= "hidalgo")*(DType = "pre")*(OFFSET(DelPoint,0,V3+2)&gt;0),OFFSET(DelPoint,0,V3+2),0))</f>
        <v>0</v>
      </c>
      <c r="W33" s="704">
        <f t="array" aca="1" ref="W33" ca="1">SUM(IF((DelPoint= "hidalgo")*(DType = "pre")*(OFFSET(DelPoint,0,W3+2)&gt;0),OFFSET(DelPoint,0,W3+2),0))</f>
        <v>0</v>
      </c>
      <c r="X33" s="704">
        <f t="array" aca="1" ref="X33" ca="1">SUM(IF((DelPoint= "hidalgo")*(DType = "pre")*(OFFSET(DelPoint,0,X3+2)&gt;0),OFFSET(DelPoint,0,X3+2),0))</f>
        <v>0</v>
      </c>
      <c r="Y33" s="705">
        <f t="array" aca="1" ref="Y33" ca="1">SUM(IF((DelPoint= "hidalgo")*(DType = "pre")*(OFFSET(DelPoint,0,Y3+2)&gt;0),OFFSET(DelPoint,0,Y3+2),0))</f>
        <v>0</v>
      </c>
      <c r="Z33" s="160"/>
      <c r="AA33" s="162"/>
    </row>
    <row r="34" spans="1:33" s="161" customFormat="1" thickBot="1" x14ac:dyDescent="0.25">
      <c r="A34" s="523" t="s">
        <v>259</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2" x14ac:dyDescent="0.2">
      <c r="A35" s="516"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6">
        <f t="array" aca="1" ref="Y35" ca="1">SUM(IF((DelPoint= "SPS")*(DType = "pre")*(OFFSET(DelPoint,0,Y3+2)&gt;0),OFFSET(DelPoint,0,Y3+2),0))</f>
        <v>0</v>
      </c>
      <c r="Z35" s="160"/>
      <c r="AA35" s="162"/>
    </row>
    <row r="36" spans="1:33" s="161" customFormat="1" ht="12" x14ac:dyDescent="0.2">
      <c r="A36" s="516" t="s">
        <v>256</v>
      </c>
      <c r="B36" s="200">
        <f ca="1">SUMIF(OFFSET(SPSBalancingVol,B$3,0),"&gt;0")</f>
        <v>0</v>
      </c>
      <c r="C36" s="200">
        <f t="shared" ref="C36:I36" ca="1" si="2">SUMIF(OFFSET(SPSBalancingVol,C$3,0),"&gt;0")</f>
        <v>0</v>
      </c>
      <c r="D36" s="200">
        <f t="shared" ca="1" si="2"/>
        <v>0</v>
      </c>
      <c r="E36" s="595">
        <f t="shared" ca="1" si="2"/>
        <v>0</v>
      </c>
      <c r="F36" s="595">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8">
        <f t="shared" ca="1" si="3"/>
        <v>0</v>
      </c>
      <c r="Z36" s="160"/>
      <c r="AA36" s="162"/>
    </row>
    <row r="37" spans="1:33" s="161" customFormat="1" thickBot="1" x14ac:dyDescent="0.25">
      <c r="A37" s="677" t="s">
        <v>257</v>
      </c>
      <c r="B37" s="666"/>
      <c r="C37" s="499"/>
      <c r="D37" s="499"/>
      <c r="E37" s="499"/>
      <c r="F37" s="499"/>
      <c r="G37" s="499"/>
      <c r="H37" s="499"/>
      <c r="I37" s="499"/>
      <c r="J37" s="499"/>
      <c r="K37" s="499"/>
      <c r="L37" s="499">
        <f ca="1">SUM(IF((DelPoint= "SPS")*IF((DType = "firm")+(DType = "econ")&gt;0,1,0)*(OFFSET(DelPoint,0,L3+2)&gt;0),OFFSET(DelPoint,0,L3+2),0))</f>
        <v>0</v>
      </c>
      <c r="M37" s="499">
        <f t="array" aca="1" ref="M37" ca="1">SUM(IF((DelPoint= "SPS")*IF((DType = "firm")+(DType = "econ")&gt;0,1,0)*(OFFSET(DelPoint,0,M3+2)&gt;0),OFFSET(DelPoint,0,M3+2),0))</f>
        <v>0</v>
      </c>
      <c r="N37" s="499">
        <f t="array" aca="1" ref="N37" ca="1">SUM(IF((DelPoint= "SPS")*IF((DType = "firm")+(DType = "econ")&gt;0,1,0)*(OFFSET(DelPoint,0,N3+2)&gt;0),OFFSET(DelPoint,0,N3+2),0))</f>
        <v>0</v>
      </c>
      <c r="O37" s="499">
        <f t="array" aca="1" ref="O37" ca="1">SUM(IF((DelPoint= "SPS")*IF((DType = "firm")+(DType = "econ")&gt;0,1,0)*(OFFSET(DelPoint,0,O3+2)&gt;0),OFFSET(DelPoint,0,O3+2),0))</f>
        <v>0</v>
      </c>
      <c r="P37" s="499">
        <f t="array" aca="1" ref="P37" ca="1">SUM(IF((DelPoint= "SPS")*IF((DType = "firm")+(DType = "econ")&gt;0,1,0)*(OFFSET(DelPoint,0,P3+2)&gt;0),OFFSET(DelPoint,0,P3+2),0))</f>
        <v>0</v>
      </c>
      <c r="Q37" s="499">
        <f t="array" aca="1" ref="Q37" ca="1">SUM(IF((DelPoint= "SPS")*IF((DType = "firm")+(DType = "econ")&gt;0,1,0)*(OFFSET(DelPoint,0,Q3+2)&gt;0),OFFSET(DelPoint,0,Q3+2),0))</f>
        <v>0</v>
      </c>
      <c r="R37" s="499">
        <f t="array" aca="1" ref="R37" ca="1">SUM(IF((DelPoint= "SPS")*IF((DType = "firm")+(DType = "econ")&gt;0,1,0)*(OFFSET(DelPoint,0,R3+2)&gt;0),OFFSET(DelPoint,0,R3+2),0))</f>
        <v>0</v>
      </c>
      <c r="S37" s="499">
        <f t="array" aca="1" ref="S37" ca="1">SUM(IF((DelPoint= "SPS")*IF((DType = "firm")+(DType = "econ")&gt;0,1,0)*(OFFSET(DelPoint,0,S3+2)&gt;0),OFFSET(DelPoint,0,S3+2),0))</f>
        <v>0</v>
      </c>
      <c r="T37" s="499">
        <f t="array" aca="1" ref="T37" ca="1">SUM(IF((DelPoint= "SPS")*IF((DType = "firm")+(DType = "econ")&gt;0,1,0)*(OFFSET(DelPoint,0,T3+2)&gt;0),OFFSET(DelPoint,0,T3+2),0))</f>
        <v>0</v>
      </c>
      <c r="U37" s="499">
        <f t="array" aca="1" ref="U37" ca="1">SUM(IF((DelPoint= "SPS")*IF((DType = "firm")+(DType = "econ")&gt;0,1,0)*(OFFSET(DelPoint,0,U3+2)&gt;0),OFFSET(DelPoint,0,U3+2),0))</f>
        <v>0</v>
      </c>
      <c r="V37" s="499">
        <f t="array" aca="1" ref="V37" ca="1">SUM(IF((DelPoint= "SPS")*IF((DType = "firm")+(DType = "econ")&gt;0,1,0)*(OFFSET(DelPoint,0,V3+2)&gt;0),OFFSET(DelPoint,0,V3+2),0))</f>
        <v>0</v>
      </c>
      <c r="W37" s="499">
        <f t="array" aca="1" ref="W37" ca="1">SUM(IF((DelPoint= "SPS")*IF((DType = "firm")+(DType = "econ")&gt;0,1,0)*(OFFSET(DelPoint,0,W3+2)&gt;0),OFFSET(DelPoint,0,W3+2),0))</f>
        <v>0</v>
      </c>
      <c r="X37" s="499">
        <f t="array" aca="1" ref="X37" ca="1">SUM(IF((DelPoint= "SPS")*IF((DType = "firm")+(DType = "econ")&gt;0,1,0)*(OFFSET(DelPoint,0,X3+2)&gt;0),OFFSET(DelPoint,0,X3+2),0))</f>
        <v>0</v>
      </c>
      <c r="Y37" s="500">
        <f t="array" aca="1" ref="Y37" ca="1">SUM(IF((DelPoint= "SPS")*IF((DType = "firm")+(DType = "econ")&gt;0,1,0)*(OFFSET(DelPoint,0,Y3+2)&gt;0),OFFSET(DelPoint,0,Y3+2),0))</f>
        <v>0</v>
      </c>
      <c r="Z37" s="160"/>
      <c r="AA37" s="162"/>
    </row>
    <row r="38" spans="1:33" s="161" customFormat="1" thickBot="1" x14ac:dyDescent="0.25">
      <c r="A38" s="676" t="s">
        <v>121</v>
      </c>
      <c r="B38" s="552">
        <f t="shared" ref="B38:Y38" ca="1" si="4">SUM(B22:B37)+B4+B5</f>
        <v>972</v>
      </c>
      <c r="C38" s="552">
        <f t="shared" ca="1" si="4"/>
        <v>922</v>
      </c>
      <c r="D38" s="552">
        <f t="shared" ca="1" si="4"/>
        <v>904</v>
      </c>
      <c r="E38" s="552">
        <f t="shared" ca="1" si="4"/>
        <v>903</v>
      </c>
      <c r="F38" s="552">
        <f t="shared" ca="1" si="4"/>
        <v>905</v>
      </c>
      <c r="G38" s="552">
        <f t="shared" ca="1" si="4"/>
        <v>941</v>
      </c>
      <c r="H38" s="552">
        <f t="shared" ca="1" si="4"/>
        <v>947</v>
      </c>
      <c r="I38" s="552">
        <f t="shared" ca="1" si="4"/>
        <v>883</v>
      </c>
      <c r="J38" s="552">
        <f t="shared" ca="1" si="4"/>
        <v>862</v>
      </c>
      <c r="K38" s="552">
        <f t="shared" ca="1" si="4"/>
        <v>902</v>
      </c>
      <c r="L38" s="552">
        <f t="shared" ca="1" si="4"/>
        <v>914</v>
      </c>
      <c r="M38" s="552">
        <f t="shared" ca="1" si="4"/>
        <v>929</v>
      </c>
      <c r="N38" s="552">
        <f t="shared" ca="1" si="4"/>
        <v>937</v>
      </c>
      <c r="O38" s="552">
        <f t="shared" ca="1" si="4"/>
        <v>926</v>
      </c>
      <c r="P38" s="552">
        <f t="shared" ca="1" si="4"/>
        <v>924</v>
      </c>
      <c r="Q38" s="552">
        <f t="shared" ca="1" si="4"/>
        <v>903</v>
      </c>
      <c r="R38" s="552">
        <f t="shared" ca="1" si="4"/>
        <v>898</v>
      </c>
      <c r="S38" s="552">
        <f t="shared" ca="1" si="4"/>
        <v>966</v>
      </c>
      <c r="T38" s="552">
        <f t="shared" ca="1" si="4"/>
        <v>984</v>
      </c>
      <c r="U38" s="552">
        <f t="shared" ca="1" si="4"/>
        <v>971</v>
      </c>
      <c r="V38" s="552">
        <f t="shared" ca="1" si="4"/>
        <v>934</v>
      </c>
      <c r="W38" s="552">
        <f t="shared" ca="1" si="4"/>
        <v>895</v>
      </c>
      <c r="X38" s="552">
        <f t="shared" ca="1" si="4"/>
        <v>884</v>
      </c>
      <c r="Y38" s="552">
        <f t="shared" ca="1" si="4"/>
        <v>950</v>
      </c>
      <c r="Z38" s="348"/>
      <c r="AA38" s="162"/>
    </row>
    <row r="39" spans="1:33" s="161" customFormat="1" ht="16.5" thickBot="1" x14ac:dyDescent="0.25">
      <c r="A39" s="565" t="s">
        <v>264</v>
      </c>
      <c r="B39" s="566"/>
      <c r="C39" s="567"/>
      <c r="D39" s="567"/>
      <c r="E39" s="596"/>
      <c r="F39" s="567"/>
      <c r="G39" s="567"/>
      <c r="H39" s="567"/>
      <c r="I39" s="567"/>
      <c r="J39" s="567"/>
      <c r="K39" s="567"/>
      <c r="L39" s="567"/>
      <c r="M39" s="567"/>
      <c r="N39" s="567"/>
      <c r="O39" s="567"/>
      <c r="P39" s="567"/>
      <c r="Q39" s="567"/>
      <c r="R39" s="567"/>
      <c r="S39" s="567"/>
      <c r="T39" s="567"/>
      <c r="U39" s="567"/>
      <c r="V39" s="567"/>
      <c r="W39" s="567"/>
      <c r="X39" s="567"/>
      <c r="Y39" s="568"/>
      <c r="Z39" s="160"/>
      <c r="AA39" s="162"/>
    </row>
    <row r="40" spans="1:33" s="161" customFormat="1" ht="13.5" thickTop="1" thickBot="1" x14ac:dyDescent="0.25">
      <c r="A40" s="571"/>
      <c r="B40" s="572"/>
      <c r="C40" s="573"/>
      <c r="D40" s="573"/>
      <c r="E40" s="597"/>
      <c r="F40" s="573"/>
      <c r="G40" s="573"/>
      <c r="H40" s="573"/>
      <c r="I40" s="573"/>
      <c r="J40" s="573"/>
      <c r="K40" s="573"/>
      <c r="L40" s="573"/>
      <c r="M40" s="573"/>
      <c r="N40" s="573"/>
      <c r="O40" s="573"/>
      <c r="P40" s="573"/>
      <c r="Q40" s="573"/>
      <c r="R40" s="573"/>
      <c r="S40" s="573"/>
      <c r="T40" s="573"/>
      <c r="U40" s="573"/>
      <c r="V40" s="573"/>
      <c r="W40" s="573"/>
      <c r="X40" s="573"/>
      <c r="Y40" s="574"/>
      <c r="Z40" s="349" t="s">
        <v>122</v>
      </c>
      <c r="AA40" s="165" t="s">
        <v>123</v>
      </c>
      <c r="AF40" s="166"/>
      <c r="AG40" s="166"/>
    </row>
    <row r="41" spans="1:33" s="161" customFormat="1" ht="12.75" customHeight="1" x14ac:dyDescent="0.2">
      <c r="A41" s="680" t="s">
        <v>129</v>
      </c>
      <c r="B41" s="681">
        <v>39</v>
      </c>
      <c r="C41" s="681">
        <v>39</v>
      </c>
      <c r="D41" s="681">
        <v>39</v>
      </c>
      <c r="E41" s="682">
        <v>40</v>
      </c>
      <c r="F41" s="681">
        <v>39</v>
      </c>
      <c r="G41" s="681">
        <v>39</v>
      </c>
      <c r="H41" s="681">
        <v>42</v>
      </c>
      <c r="I41" s="681">
        <v>41</v>
      </c>
      <c r="J41" s="681">
        <v>39</v>
      </c>
      <c r="K41" s="681">
        <v>41</v>
      </c>
      <c r="L41" s="681">
        <v>41</v>
      </c>
      <c r="M41" s="681">
        <v>39</v>
      </c>
      <c r="N41" s="681">
        <v>41</v>
      </c>
      <c r="O41" s="681">
        <v>40</v>
      </c>
      <c r="P41" s="681">
        <v>39</v>
      </c>
      <c r="Q41" s="681">
        <v>34</v>
      </c>
      <c r="R41" s="681">
        <v>34</v>
      </c>
      <c r="S41" s="681">
        <v>43</v>
      </c>
      <c r="T41" s="681">
        <v>41</v>
      </c>
      <c r="U41" s="681">
        <v>40</v>
      </c>
      <c r="V41" s="681">
        <v>39</v>
      </c>
      <c r="W41" s="681">
        <v>46</v>
      </c>
      <c r="X41" s="681">
        <v>38</v>
      </c>
      <c r="Y41" s="683">
        <v>41</v>
      </c>
      <c r="Z41" s="350">
        <v>80</v>
      </c>
      <c r="AA41" s="210">
        <f ca="1">-Economics!D34/Economics!I34</f>
        <v>11188.240393813776</v>
      </c>
    </row>
    <row r="42" spans="1:33" s="161" customFormat="1" ht="15" customHeight="1" x14ac:dyDescent="0.2">
      <c r="A42" s="631" t="s">
        <v>130</v>
      </c>
      <c r="B42" s="635">
        <v>0</v>
      </c>
      <c r="C42" s="635">
        <v>0</v>
      </c>
      <c r="D42" s="635">
        <v>0</v>
      </c>
      <c r="E42" s="636">
        <v>0</v>
      </c>
      <c r="F42" s="635">
        <v>0</v>
      </c>
      <c r="G42" s="635">
        <v>0</v>
      </c>
      <c r="H42" s="635">
        <v>0</v>
      </c>
      <c r="I42" s="635">
        <v>0</v>
      </c>
      <c r="J42" s="635">
        <v>0</v>
      </c>
      <c r="K42" s="635">
        <v>0</v>
      </c>
      <c r="L42" s="635">
        <v>0</v>
      </c>
      <c r="M42" s="635">
        <v>0</v>
      </c>
      <c r="N42" s="635">
        <v>0</v>
      </c>
      <c r="O42" s="635">
        <v>0</v>
      </c>
      <c r="P42" s="635">
        <v>0</v>
      </c>
      <c r="Q42" s="635">
        <v>0</v>
      </c>
      <c r="R42" s="635">
        <v>0</v>
      </c>
      <c r="S42" s="635">
        <v>0</v>
      </c>
      <c r="T42" s="635">
        <v>0</v>
      </c>
      <c r="U42" s="635">
        <v>0</v>
      </c>
      <c r="V42" s="635">
        <v>0</v>
      </c>
      <c r="W42" s="635">
        <v>0</v>
      </c>
      <c r="X42" s="635"/>
      <c r="Y42" s="637">
        <v>0</v>
      </c>
      <c r="Z42" s="350">
        <v>78</v>
      </c>
      <c r="AA42" s="210">
        <f ca="1">-Economics!D35/Economics!I35</f>
        <v>0</v>
      </c>
    </row>
    <row r="43" spans="1:33" s="161" customFormat="1" ht="12.75" customHeight="1" x14ac:dyDescent="0.2">
      <c r="A43" s="632" t="s">
        <v>131</v>
      </c>
      <c r="B43" s="638">
        <v>36</v>
      </c>
      <c r="C43" s="638">
        <v>59</v>
      </c>
      <c r="D43" s="638">
        <v>67</v>
      </c>
      <c r="E43" s="639">
        <v>51</v>
      </c>
      <c r="F43" s="638">
        <v>52</v>
      </c>
      <c r="G43" s="638">
        <v>91</v>
      </c>
      <c r="H43" s="638">
        <v>100</v>
      </c>
      <c r="I43" s="638">
        <v>45</v>
      </c>
      <c r="J43" s="638">
        <v>43</v>
      </c>
      <c r="K43" s="638">
        <v>74</v>
      </c>
      <c r="L43" s="638">
        <v>84</v>
      </c>
      <c r="M43" s="638">
        <v>39</v>
      </c>
      <c r="N43" s="638">
        <v>38</v>
      </c>
      <c r="O43" s="638">
        <v>36</v>
      </c>
      <c r="P43" s="638">
        <v>35</v>
      </c>
      <c r="Q43" s="638">
        <v>42</v>
      </c>
      <c r="R43" s="638">
        <v>35</v>
      </c>
      <c r="S43" s="638">
        <v>92</v>
      </c>
      <c r="T43" s="638">
        <v>73</v>
      </c>
      <c r="U43" s="638">
        <v>60</v>
      </c>
      <c r="V43" s="638">
        <v>35</v>
      </c>
      <c r="W43" s="638">
        <v>55</v>
      </c>
      <c r="X43" s="638">
        <v>59</v>
      </c>
      <c r="Y43" s="640">
        <v>100</v>
      </c>
      <c r="Z43" s="352">
        <v>103</v>
      </c>
      <c r="AA43" s="211">
        <f ca="1">-Economics!D36/Economics!I36</f>
        <v>14522.999043367347</v>
      </c>
    </row>
    <row r="44" spans="1:33" s="161" customFormat="1" ht="12.75" customHeight="1" x14ac:dyDescent="0.2">
      <c r="A44" s="631" t="s">
        <v>49</v>
      </c>
      <c r="B44" s="635">
        <v>0</v>
      </c>
      <c r="C44" s="635">
        <v>0</v>
      </c>
      <c r="D44" s="635">
        <v>0</v>
      </c>
      <c r="E44" s="635">
        <v>0</v>
      </c>
      <c r="F44" s="635">
        <v>0</v>
      </c>
      <c r="G44" s="635">
        <v>0</v>
      </c>
      <c r="H44" s="635">
        <v>0</v>
      </c>
      <c r="I44" s="635">
        <v>0</v>
      </c>
      <c r="J44" s="635">
        <v>0</v>
      </c>
      <c r="K44" s="635">
        <v>0</v>
      </c>
      <c r="L44" s="635">
        <v>0</v>
      </c>
      <c r="M44" s="635">
        <v>0</v>
      </c>
      <c r="N44" s="635">
        <v>0</v>
      </c>
      <c r="O44" s="635">
        <v>0</v>
      </c>
      <c r="P44" s="635">
        <v>0</v>
      </c>
      <c r="Q44" s="635">
        <v>0</v>
      </c>
      <c r="R44" s="635">
        <v>0</v>
      </c>
      <c r="S44" s="635">
        <v>0</v>
      </c>
      <c r="T44" s="635">
        <v>0</v>
      </c>
      <c r="U44" s="635">
        <v>0</v>
      </c>
      <c r="V44" s="635">
        <v>0</v>
      </c>
      <c r="W44" s="635">
        <v>0</v>
      </c>
      <c r="X44" s="635">
        <v>0</v>
      </c>
      <c r="Y44" s="637">
        <v>0</v>
      </c>
      <c r="Z44" s="350">
        <v>40</v>
      </c>
      <c r="AA44" s="210">
        <f ca="1">-Economics!D37/Economics!I37</f>
        <v>0</v>
      </c>
    </row>
    <row r="45" spans="1:33" s="161" customFormat="1" ht="12.75" customHeight="1" thickBot="1" x14ac:dyDescent="0.25">
      <c r="A45" s="631" t="s">
        <v>50</v>
      </c>
      <c r="B45" s="635">
        <v>0</v>
      </c>
      <c r="C45" s="635">
        <v>0</v>
      </c>
      <c r="D45" s="635">
        <v>0</v>
      </c>
      <c r="E45" s="635">
        <v>0</v>
      </c>
      <c r="F45" s="635">
        <v>0</v>
      </c>
      <c r="G45" s="635">
        <v>0</v>
      </c>
      <c r="H45" s="635">
        <v>0</v>
      </c>
      <c r="I45" s="635">
        <v>0</v>
      </c>
      <c r="J45" s="635">
        <v>0</v>
      </c>
      <c r="K45" s="635">
        <v>0</v>
      </c>
      <c r="L45" s="635">
        <v>0</v>
      </c>
      <c r="M45" s="635">
        <v>0</v>
      </c>
      <c r="N45" s="635">
        <v>0</v>
      </c>
      <c r="O45" s="635">
        <v>0</v>
      </c>
      <c r="P45" s="635">
        <v>0</v>
      </c>
      <c r="Q45" s="635">
        <v>0</v>
      </c>
      <c r="R45" s="635">
        <v>0</v>
      </c>
      <c r="S45" s="635">
        <v>0</v>
      </c>
      <c r="T45" s="635">
        <v>0</v>
      </c>
      <c r="U45" s="635">
        <v>0</v>
      </c>
      <c r="V45" s="635">
        <v>0</v>
      </c>
      <c r="W45" s="635">
        <v>0</v>
      </c>
      <c r="X45" s="635"/>
      <c r="Y45" s="637">
        <v>0</v>
      </c>
      <c r="Z45" s="350">
        <v>40</v>
      </c>
      <c r="AA45" s="210">
        <f ca="1">-Economics!D38/Economics!I38</f>
        <v>0</v>
      </c>
    </row>
    <row r="46" spans="1:33" s="161" customFormat="1" ht="12.75" customHeight="1" thickBot="1" x14ac:dyDescent="0.25">
      <c r="A46" s="630" t="s">
        <v>360</v>
      </c>
      <c r="B46" s="635">
        <v>0</v>
      </c>
      <c r="C46" s="635">
        <v>0</v>
      </c>
      <c r="D46" s="635">
        <v>0</v>
      </c>
      <c r="E46" s="635">
        <v>0</v>
      </c>
      <c r="F46" s="635">
        <v>0</v>
      </c>
      <c r="G46" s="635">
        <v>0</v>
      </c>
      <c r="H46" s="635">
        <v>0</v>
      </c>
      <c r="I46" s="635">
        <v>0</v>
      </c>
      <c r="J46" s="635">
        <v>0</v>
      </c>
      <c r="K46" s="635">
        <v>0</v>
      </c>
      <c r="L46" s="635">
        <v>0</v>
      </c>
      <c r="M46" s="635">
        <v>0</v>
      </c>
      <c r="N46" s="635">
        <v>0</v>
      </c>
      <c r="O46" s="635">
        <v>0</v>
      </c>
      <c r="P46" s="635">
        <v>0</v>
      </c>
      <c r="Q46" s="635">
        <v>0</v>
      </c>
      <c r="R46" s="635">
        <v>0</v>
      </c>
      <c r="S46" s="635">
        <v>0</v>
      </c>
      <c r="T46" s="635">
        <v>0</v>
      </c>
      <c r="U46" s="635">
        <v>0</v>
      </c>
      <c r="V46" s="635">
        <v>0</v>
      </c>
      <c r="W46" s="635">
        <v>0</v>
      </c>
      <c r="X46" s="635">
        <v>0</v>
      </c>
      <c r="Y46" s="637">
        <v>0</v>
      </c>
      <c r="Z46" s="350">
        <v>108</v>
      </c>
      <c r="AA46" s="210">
        <f ca="1">-Economics!D39/Economics!I39</f>
        <v>0</v>
      </c>
    </row>
    <row r="47" spans="1:33" s="161" customFormat="1" ht="12.75" customHeight="1" x14ac:dyDescent="0.2">
      <c r="A47" s="631" t="s">
        <v>361</v>
      </c>
      <c r="B47" s="635">
        <v>0</v>
      </c>
      <c r="C47" s="635">
        <v>0</v>
      </c>
      <c r="D47" s="635">
        <v>0</v>
      </c>
      <c r="E47" s="635">
        <v>0</v>
      </c>
      <c r="F47" s="635">
        <v>0</v>
      </c>
      <c r="G47" s="635">
        <v>0</v>
      </c>
      <c r="H47" s="635">
        <v>0</v>
      </c>
      <c r="I47" s="635">
        <v>0</v>
      </c>
      <c r="J47" s="635">
        <v>0</v>
      </c>
      <c r="K47" s="635">
        <v>0</v>
      </c>
      <c r="L47" s="635">
        <v>0</v>
      </c>
      <c r="M47" s="635">
        <v>0</v>
      </c>
      <c r="N47" s="635">
        <v>0</v>
      </c>
      <c r="O47" s="635">
        <v>0</v>
      </c>
      <c r="P47" s="635">
        <v>0</v>
      </c>
      <c r="Q47" s="635">
        <v>0</v>
      </c>
      <c r="R47" s="635">
        <v>0</v>
      </c>
      <c r="S47" s="635">
        <v>0</v>
      </c>
      <c r="T47" s="635">
        <v>0</v>
      </c>
      <c r="U47" s="635">
        <v>0</v>
      </c>
      <c r="V47" s="635">
        <v>0</v>
      </c>
      <c r="W47" s="635">
        <v>0</v>
      </c>
      <c r="X47" s="635">
        <v>0</v>
      </c>
      <c r="Y47" s="637">
        <v>0</v>
      </c>
      <c r="Z47" s="350">
        <v>108</v>
      </c>
      <c r="AA47" s="210">
        <f ca="1">-Economics!D40/Economics!I40</f>
        <v>0</v>
      </c>
    </row>
    <row r="48" spans="1:33" s="161" customFormat="1" ht="12.75" customHeight="1" x14ac:dyDescent="0.2">
      <c r="A48" s="632" t="s">
        <v>132</v>
      </c>
      <c r="B48" s="638">
        <v>0</v>
      </c>
      <c r="C48" s="638">
        <v>0</v>
      </c>
      <c r="D48" s="638">
        <v>0</v>
      </c>
      <c r="E48" s="638">
        <v>0</v>
      </c>
      <c r="F48" s="638">
        <v>0</v>
      </c>
      <c r="G48" s="638">
        <v>0</v>
      </c>
      <c r="H48" s="638">
        <v>0</v>
      </c>
      <c r="I48" s="638">
        <v>0</v>
      </c>
      <c r="J48" s="638">
        <v>0</v>
      </c>
      <c r="K48" s="638">
        <v>0</v>
      </c>
      <c r="L48" s="638">
        <v>0</v>
      </c>
      <c r="M48" s="638">
        <v>0</v>
      </c>
      <c r="N48" s="638">
        <v>0</v>
      </c>
      <c r="O48" s="638">
        <v>0</v>
      </c>
      <c r="P48" s="638">
        <v>0</v>
      </c>
      <c r="Q48" s="638">
        <v>0</v>
      </c>
      <c r="R48" s="638">
        <v>0</v>
      </c>
      <c r="S48" s="638">
        <v>0</v>
      </c>
      <c r="T48" s="638">
        <v>0</v>
      </c>
      <c r="U48" s="638">
        <v>0</v>
      </c>
      <c r="V48" s="638">
        <v>0</v>
      </c>
      <c r="W48" s="638">
        <v>0</v>
      </c>
      <c r="X48" s="638">
        <v>0</v>
      </c>
      <c r="Y48" s="640">
        <v>0</v>
      </c>
      <c r="Z48" s="352">
        <v>212</v>
      </c>
      <c r="AA48" s="211">
        <f ca="1">-Economics!D41/Economics!I41</f>
        <v>0</v>
      </c>
    </row>
    <row r="49" spans="1:27" s="161" customFormat="1" ht="12.75" customHeight="1" x14ac:dyDescent="0.2">
      <c r="A49" s="632" t="s">
        <v>133</v>
      </c>
      <c r="B49" s="638">
        <v>0</v>
      </c>
      <c r="C49" s="638">
        <v>0</v>
      </c>
      <c r="D49" s="638">
        <v>0</v>
      </c>
      <c r="E49" s="638">
        <v>0</v>
      </c>
      <c r="F49" s="638">
        <v>0</v>
      </c>
      <c r="G49" s="638">
        <v>0</v>
      </c>
      <c r="H49" s="638">
        <v>0</v>
      </c>
      <c r="I49" s="638">
        <v>0</v>
      </c>
      <c r="J49" s="638">
        <v>0</v>
      </c>
      <c r="K49" s="638">
        <v>0</v>
      </c>
      <c r="L49" s="638">
        <v>0</v>
      </c>
      <c r="M49" s="638">
        <v>0</v>
      </c>
      <c r="N49" s="638">
        <v>0</v>
      </c>
      <c r="O49" s="638">
        <v>0</v>
      </c>
      <c r="P49" s="638">
        <v>0</v>
      </c>
      <c r="Q49" s="638">
        <v>0</v>
      </c>
      <c r="R49" s="638">
        <v>0</v>
      </c>
      <c r="S49" s="638">
        <v>0</v>
      </c>
      <c r="T49" s="638">
        <v>0</v>
      </c>
      <c r="U49" s="638">
        <v>0</v>
      </c>
      <c r="V49" s="638">
        <v>0</v>
      </c>
      <c r="W49" s="638">
        <v>0</v>
      </c>
      <c r="X49" s="638">
        <v>0</v>
      </c>
      <c r="Y49" s="640">
        <v>0</v>
      </c>
      <c r="Z49" s="352">
        <v>68</v>
      </c>
      <c r="AA49" s="211">
        <f ca="1">-Economics!D42/Economics!I42</f>
        <v>0</v>
      </c>
    </row>
    <row r="50" spans="1:27" s="161" customFormat="1" ht="12.75" customHeight="1" x14ac:dyDescent="0.2">
      <c r="A50" s="631" t="s">
        <v>134</v>
      </c>
      <c r="B50" s="635">
        <v>0</v>
      </c>
      <c r="C50" s="635">
        <v>0</v>
      </c>
      <c r="D50" s="635">
        <v>0</v>
      </c>
      <c r="E50" s="635">
        <v>0</v>
      </c>
      <c r="F50" s="635">
        <v>0</v>
      </c>
      <c r="G50" s="635">
        <v>0</v>
      </c>
      <c r="H50" s="635">
        <v>0</v>
      </c>
      <c r="I50" s="635">
        <v>0</v>
      </c>
      <c r="J50" s="635">
        <v>0</v>
      </c>
      <c r="K50" s="635">
        <v>0</v>
      </c>
      <c r="L50" s="635">
        <v>0</v>
      </c>
      <c r="M50" s="635">
        <v>0</v>
      </c>
      <c r="N50" s="635">
        <v>0</v>
      </c>
      <c r="O50" s="635">
        <v>0</v>
      </c>
      <c r="P50" s="635">
        <v>0</v>
      </c>
      <c r="Q50" s="635">
        <v>0</v>
      </c>
      <c r="R50" s="635">
        <v>0</v>
      </c>
      <c r="S50" s="635">
        <v>0</v>
      </c>
      <c r="T50" s="635">
        <v>0</v>
      </c>
      <c r="U50" s="635">
        <v>0</v>
      </c>
      <c r="V50" s="635">
        <v>0</v>
      </c>
      <c r="W50" s="635">
        <v>0</v>
      </c>
      <c r="X50" s="635">
        <v>0</v>
      </c>
      <c r="Y50" s="637">
        <v>0</v>
      </c>
      <c r="Z50" s="350">
        <v>48</v>
      </c>
      <c r="AA50" s="210">
        <f ca="1">-Economics!D43/Economics!I43</f>
        <v>0</v>
      </c>
    </row>
    <row r="51" spans="1:27" s="161" customFormat="1" ht="12.75" customHeight="1" x14ac:dyDescent="0.2">
      <c r="A51" s="631" t="s">
        <v>135</v>
      </c>
      <c r="B51" s="635">
        <v>29</v>
      </c>
      <c r="C51" s="635">
        <v>29</v>
      </c>
      <c r="D51" s="635">
        <v>29</v>
      </c>
      <c r="E51" s="635">
        <v>29</v>
      </c>
      <c r="F51" s="635">
        <v>29</v>
      </c>
      <c r="G51" s="635">
        <v>29</v>
      </c>
      <c r="H51" s="635">
        <v>29</v>
      </c>
      <c r="I51" s="635">
        <v>29</v>
      </c>
      <c r="J51" s="635">
        <v>29</v>
      </c>
      <c r="K51" s="635">
        <v>29</v>
      </c>
      <c r="L51" s="635">
        <v>28</v>
      </c>
      <c r="M51" s="635">
        <v>29</v>
      </c>
      <c r="N51" s="635">
        <v>28</v>
      </c>
      <c r="O51" s="635">
        <v>28</v>
      </c>
      <c r="P51" s="635">
        <v>28</v>
      </c>
      <c r="Q51" s="635">
        <v>28</v>
      </c>
      <c r="R51" s="635">
        <v>28</v>
      </c>
      <c r="S51" s="635">
        <v>28</v>
      </c>
      <c r="T51" s="635">
        <v>28</v>
      </c>
      <c r="U51" s="635">
        <v>28</v>
      </c>
      <c r="V51" s="635">
        <v>28</v>
      </c>
      <c r="W51" s="635">
        <v>28</v>
      </c>
      <c r="X51" s="635">
        <v>29</v>
      </c>
      <c r="Y51" s="637">
        <v>28</v>
      </c>
      <c r="Z51" s="350">
        <v>44</v>
      </c>
      <c r="AA51" s="210">
        <f ca="1">-Economics!D44/Economics!I44</f>
        <v>7321.635298295455</v>
      </c>
    </row>
    <row r="52" spans="1:27" s="161" customFormat="1" ht="12.75" customHeight="1" thickBot="1" x14ac:dyDescent="0.25">
      <c r="A52" s="631" t="s">
        <v>136</v>
      </c>
      <c r="B52" s="635">
        <v>58</v>
      </c>
      <c r="C52" s="635">
        <v>58</v>
      </c>
      <c r="D52" s="635">
        <v>58</v>
      </c>
      <c r="E52" s="635">
        <v>58</v>
      </c>
      <c r="F52" s="635">
        <v>58</v>
      </c>
      <c r="G52" s="635">
        <v>59</v>
      </c>
      <c r="H52" s="635">
        <v>60</v>
      </c>
      <c r="I52" s="635">
        <v>58</v>
      </c>
      <c r="J52" s="635">
        <v>58</v>
      </c>
      <c r="K52" s="635">
        <v>59</v>
      </c>
      <c r="L52" s="635">
        <v>58</v>
      </c>
      <c r="M52" s="635">
        <v>58</v>
      </c>
      <c r="N52" s="635">
        <v>58</v>
      </c>
      <c r="O52" s="635">
        <v>58</v>
      </c>
      <c r="P52" s="635">
        <v>59</v>
      </c>
      <c r="Q52" s="635">
        <v>58</v>
      </c>
      <c r="R52" s="635">
        <v>58</v>
      </c>
      <c r="S52" s="635">
        <v>68</v>
      </c>
      <c r="T52" s="635">
        <v>94</v>
      </c>
      <c r="U52" s="635">
        <v>94</v>
      </c>
      <c r="V52" s="635">
        <v>87</v>
      </c>
      <c r="W52" s="635">
        <v>54</v>
      </c>
      <c r="X52" s="635">
        <v>54</v>
      </c>
      <c r="Y52" s="637">
        <v>78</v>
      </c>
      <c r="Z52" s="353">
        <v>130</v>
      </c>
      <c r="AA52" s="212">
        <f ca="1">-Economics!D45/Economics!I45</f>
        <v>15566.202526913876</v>
      </c>
    </row>
    <row r="53" spans="1:27" s="161" customFormat="1" ht="12.75" customHeight="1" thickTop="1" x14ac:dyDescent="0.2">
      <c r="A53" s="631" t="s">
        <v>126</v>
      </c>
      <c r="B53" s="635">
        <v>199</v>
      </c>
      <c r="C53" s="635">
        <v>197</v>
      </c>
      <c r="D53" s="635">
        <v>196</v>
      </c>
      <c r="E53" s="635">
        <v>197</v>
      </c>
      <c r="F53" s="635">
        <v>196</v>
      </c>
      <c r="G53" s="635">
        <v>196</v>
      </c>
      <c r="H53" s="635">
        <v>196</v>
      </c>
      <c r="I53" s="635">
        <v>197</v>
      </c>
      <c r="J53" s="635">
        <v>196</v>
      </c>
      <c r="K53" s="635">
        <v>196</v>
      </c>
      <c r="L53" s="635">
        <v>199</v>
      </c>
      <c r="M53" s="635">
        <v>196</v>
      </c>
      <c r="N53" s="635">
        <v>195</v>
      </c>
      <c r="O53" s="635">
        <v>199</v>
      </c>
      <c r="P53" s="635">
        <v>196</v>
      </c>
      <c r="Q53" s="635">
        <v>199</v>
      </c>
      <c r="R53" s="635">
        <v>195</v>
      </c>
      <c r="S53" s="635">
        <v>195</v>
      </c>
      <c r="T53" s="635">
        <v>195</v>
      </c>
      <c r="U53" s="635">
        <v>196</v>
      </c>
      <c r="V53" s="635">
        <v>196</v>
      </c>
      <c r="W53" s="635">
        <v>198</v>
      </c>
      <c r="X53" s="635">
        <v>198</v>
      </c>
      <c r="Y53" s="637">
        <v>198</v>
      </c>
      <c r="Z53" s="350">
        <v>198</v>
      </c>
      <c r="AA53" s="208"/>
    </row>
    <row r="54" spans="1:27" s="161" customFormat="1" ht="12.75" customHeight="1" x14ac:dyDescent="0.2">
      <c r="A54" s="631" t="s">
        <v>127</v>
      </c>
      <c r="B54" s="635">
        <v>199</v>
      </c>
      <c r="C54" s="635">
        <v>197</v>
      </c>
      <c r="D54" s="635">
        <v>196</v>
      </c>
      <c r="E54" s="635">
        <v>197</v>
      </c>
      <c r="F54" s="635">
        <v>196</v>
      </c>
      <c r="G54" s="635">
        <v>196</v>
      </c>
      <c r="H54" s="635">
        <v>196</v>
      </c>
      <c r="I54" s="635">
        <v>197</v>
      </c>
      <c r="J54" s="635">
        <v>196</v>
      </c>
      <c r="K54" s="635">
        <v>196</v>
      </c>
      <c r="L54" s="635">
        <v>199</v>
      </c>
      <c r="M54" s="635">
        <v>196</v>
      </c>
      <c r="N54" s="635">
        <v>195</v>
      </c>
      <c r="O54" s="635">
        <v>199</v>
      </c>
      <c r="P54" s="635">
        <v>196</v>
      </c>
      <c r="Q54" s="635">
        <v>199</v>
      </c>
      <c r="R54" s="635">
        <v>195</v>
      </c>
      <c r="S54" s="635">
        <v>195</v>
      </c>
      <c r="T54" s="635">
        <v>195</v>
      </c>
      <c r="U54" s="635">
        <v>196</v>
      </c>
      <c r="V54" s="635">
        <v>196</v>
      </c>
      <c r="W54" s="635">
        <v>198</v>
      </c>
      <c r="X54" s="635">
        <v>198</v>
      </c>
      <c r="Y54" s="637">
        <v>198</v>
      </c>
      <c r="Z54" s="350">
        <v>198</v>
      </c>
      <c r="AA54" s="208"/>
    </row>
    <row r="55" spans="1:27" s="161" customFormat="1" ht="12.75" customHeight="1" x14ac:dyDescent="0.2">
      <c r="A55" s="631" t="s">
        <v>128</v>
      </c>
      <c r="B55" s="635">
        <v>199</v>
      </c>
      <c r="C55" s="635">
        <v>197</v>
      </c>
      <c r="D55" s="635">
        <v>196</v>
      </c>
      <c r="E55" s="635">
        <v>197</v>
      </c>
      <c r="F55" s="635">
        <v>196</v>
      </c>
      <c r="G55" s="635">
        <v>196</v>
      </c>
      <c r="H55" s="635">
        <v>196</v>
      </c>
      <c r="I55" s="635">
        <v>197</v>
      </c>
      <c r="J55" s="635">
        <v>196</v>
      </c>
      <c r="K55" s="635">
        <v>196</v>
      </c>
      <c r="L55" s="635">
        <v>199</v>
      </c>
      <c r="M55" s="635">
        <v>196</v>
      </c>
      <c r="N55" s="635">
        <v>195</v>
      </c>
      <c r="O55" s="635">
        <v>199</v>
      </c>
      <c r="P55" s="635">
        <v>196</v>
      </c>
      <c r="Q55" s="635">
        <v>199</v>
      </c>
      <c r="R55" s="635">
        <v>195</v>
      </c>
      <c r="S55" s="635">
        <v>195</v>
      </c>
      <c r="T55" s="635">
        <v>195</v>
      </c>
      <c r="U55" s="635">
        <v>196</v>
      </c>
      <c r="V55" s="635">
        <v>196</v>
      </c>
      <c r="W55" s="635">
        <v>198</v>
      </c>
      <c r="X55" s="635">
        <v>198</v>
      </c>
      <c r="Y55" s="637">
        <v>198</v>
      </c>
      <c r="Z55" s="350">
        <v>198</v>
      </c>
      <c r="AA55" s="208"/>
    </row>
    <row r="56" spans="1:27" s="161" customFormat="1" ht="12.75" customHeight="1" x14ac:dyDescent="0.2">
      <c r="A56" s="631" t="s">
        <v>124</v>
      </c>
      <c r="B56" s="635">
        <v>3</v>
      </c>
      <c r="C56" s="635">
        <v>2</v>
      </c>
      <c r="D56" s="635">
        <v>2</v>
      </c>
      <c r="E56" s="635">
        <v>3</v>
      </c>
      <c r="F56" s="635">
        <v>2</v>
      </c>
      <c r="G56" s="635">
        <v>2</v>
      </c>
      <c r="H56" s="635">
        <v>2</v>
      </c>
      <c r="I56" s="635">
        <v>2</v>
      </c>
      <c r="J56" s="635">
        <v>2</v>
      </c>
      <c r="K56" s="635">
        <v>2</v>
      </c>
      <c r="L56" s="635">
        <v>2</v>
      </c>
      <c r="M56" s="635">
        <v>75</v>
      </c>
      <c r="N56" s="635">
        <v>75</v>
      </c>
      <c r="O56" s="635">
        <v>75</v>
      </c>
      <c r="P56" s="635">
        <v>75</v>
      </c>
      <c r="Q56" s="635">
        <v>50</v>
      </c>
      <c r="R56" s="635">
        <v>50</v>
      </c>
      <c r="S56" s="635">
        <v>50</v>
      </c>
      <c r="T56" s="635">
        <v>50</v>
      </c>
      <c r="U56" s="635">
        <v>50</v>
      </c>
      <c r="V56" s="635">
        <v>50</v>
      </c>
      <c r="W56" s="635">
        <v>9</v>
      </c>
      <c r="X56" s="635">
        <v>2</v>
      </c>
      <c r="Y56" s="637">
        <v>2</v>
      </c>
      <c r="Z56" s="350">
        <v>52</v>
      </c>
      <c r="AA56" s="208"/>
    </row>
    <row r="57" spans="1:27" s="161" customFormat="1" ht="12.75" customHeight="1" thickBot="1" x14ac:dyDescent="0.25">
      <c r="A57" s="684" t="s">
        <v>125</v>
      </c>
      <c r="B57" s="685"/>
      <c r="C57" s="685"/>
      <c r="D57" s="685"/>
      <c r="E57" s="685"/>
      <c r="F57" s="685"/>
      <c r="G57" s="685"/>
      <c r="H57" s="685"/>
      <c r="I57" s="685"/>
      <c r="J57" s="685"/>
      <c r="K57" s="685"/>
      <c r="L57" s="685"/>
      <c r="M57" s="685">
        <v>0</v>
      </c>
      <c r="N57" s="685"/>
      <c r="O57" s="685"/>
      <c r="P57" s="685"/>
      <c r="Q57" s="685"/>
      <c r="R57" s="685"/>
      <c r="S57" s="685"/>
      <c r="T57" s="685"/>
      <c r="U57" s="685"/>
      <c r="V57" s="685"/>
      <c r="W57" s="685"/>
      <c r="X57" s="685"/>
      <c r="Y57" s="686"/>
      <c r="Z57" s="350">
        <v>52</v>
      </c>
      <c r="AA57" s="208"/>
    </row>
    <row r="58" spans="1:27" s="161" customFormat="1" ht="17.25" customHeight="1" thickBot="1" x14ac:dyDescent="0.25">
      <c r="A58" s="678" t="s">
        <v>10</v>
      </c>
      <c r="B58" s="679">
        <f ca="1">B59-B38</f>
        <v>-32</v>
      </c>
      <c r="C58" s="679">
        <f t="shared" ref="C58:I58" ca="1" si="5">C59-C38</f>
        <v>-16</v>
      </c>
      <c r="D58" s="679">
        <f t="shared" ca="1" si="5"/>
        <v>7</v>
      </c>
      <c r="E58" s="679">
        <f t="shared" ca="1" si="5"/>
        <v>-3</v>
      </c>
      <c r="F58" s="679">
        <f t="shared" ca="1" si="5"/>
        <v>-9</v>
      </c>
      <c r="G58" s="679">
        <f t="shared" ca="1" si="5"/>
        <v>-5</v>
      </c>
      <c r="H58" s="679">
        <f t="shared" ca="1" si="5"/>
        <v>2</v>
      </c>
      <c r="I58" s="679">
        <f t="shared" ca="1" si="5"/>
        <v>-14</v>
      </c>
      <c r="J58" s="679">
        <f t="shared" ref="J58:Y58" ca="1" si="6">J59-J38</f>
        <v>0</v>
      </c>
      <c r="K58" s="679">
        <f t="shared" ca="1" si="6"/>
        <v>-6</v>
      </c>
      <c r="L58" s="679">
        <f t="shared" ca="1" si="6"/>
        <v>-1</v>
      </c>
      <c r="M58" s="679">
        <f t="shared" ca="1" si="6"/>
        <v>2</v>
      </c>
      <c r="N58" s="679">
        <f t="shared" ca="1" si="6"/>
        <v>-9</v>
      </c>
      <c r="O58" s="679">
        <f t="shared" ca="1" si="6"/>
        <v>11</v>
      </c>
      <c r="P58" s="679">
        <f t="shared" ca="1" si="6"/>
        <v>3</v>
      </c>
      <c r="Q58" s="679">
        <f t="shared" ca="1" si="6"/>
        <v>9</v>
      </c>
      <c r="R58" s="679">
        <f t="shared" ca="1" si="6"/>
        <v>-5</v>
      </c>
      <c r="S58" s="679">
        <f t="shared" ca="1" si="6"/>
        <v>3</v>
      </c>
      <c r="T58" s="679">
        <f t="shared" ca="1" si="6"/>
        <v>-10</v>
      </c>
      <c r="U58" s="679">
        <f t="shared" ca="1" si="6"/>
        <v>-8</v>
      </c>
      <c r="V58" s="679">
        <f t="shared" ca="1" si="6"/>
        <v>-4</v>
      </c>
      <c r="W58" s="679">
        <f t="shared" ca="1" si="6"/>
        <v>-6</v>
      </c>
      <c r="X58" s="679">
        <f ca="1">X59-X38</f>
        <v>-5</v>
      </c>
      <c r="Y58" s="679">
        <f t="shared" ca="1" si="6"/>
        <v>21</v>
      </c>
      <c r="Z58" s="351">
        <f ca="1">SUM(Z41:Z55)+Z41+Z42+Z43+Z48+Z49+Z50+Z51+Z52</f>
        <v>2416</v>
      </c>
      <c r="AA58" s="209">
        <f ca="1">SUM(AA41:AA55)</f>
        <v>48599.077262390456</v>
      </c>
    </row>
    <row r="59" spans="1:27" s="161" customFormat="1" ht="12" x14ac:dyDescent="0.2">
      <c r="A59" s="569">
        <v>0</v>
      </c>
      <c r="B59" s="570">
        <f t="shared" ref="B59:I59" ca="1" si="7">SUM(B41:B57)-SUM(B7:B20)</f>
        <v>940</v>
      </c>
      <c r="C59" s="570">
        <f t="shared" ca="1" si="7"/>
        <v>906</v>
      </c>
      <c r="D59" s="570">
        <f t="shared" ca="1" si="7"/>
        <v>911</v>
      </c>
      <c r="E59" s="570">
        <f t="shared" ca="1" si="7"/>
        <v>900</v>
      </c>
      <c r="F59" s="570">
        <f t="shared" ca="1" si="7"/>
        <v>896</v>
      </c>
      <c r="G59" s="570">
        <f t="shared" ca="1" si="7"/>
        <v>936</v>
      </c>
      <c r="H59" s="570">
        <f t="shared" ca="1" si="7"/>
        <v>949</v>
      </c>
      <c r="I59" s="570">
        <f t="shared" ca="1" si="7"/>
        <v>869</v>
      </c>
      <c r="J59" s="570">
        <f t="shared" ref="J59:Y59" ca="1" si="8">SUM(J41:J57)-SUM(J7:J20)</f>
        <v>862</v>
      </c>
      <c r="K59" s="570">
        <f t="shared" ca="1" si="8"/>
        <v>896</v>
      </c>
      <c r="L59" s="570">
        <f t="shared" ca="1" si="8"/>
        <v>913</v>
      </c>
      <c r="M59" s="570">
        <f t="shared" ca="1" si="8"/>
        <v>931</v>
      </c>
      <c r="N59" s="570">
        <f t="shared" ca="1" si="8"/>
        <v>928</v>
      </c>
      <c r="O59" s="570">
        <f t="shared" ca="1" si="8"/>
        <v>937</v>
      </c>
      <c r="P59" s="570">
        <f t="shared" ca="1" si="8"/>
        <v>927</v>
      </c>
      <c r="Q59" s="570">
        <f t="shared" ca="1" si="8"/>
        <v>912</v>
      </c>
      <c r="R59" s="570">
        <f t="shared" ca="1" si="8"/>
        <v>893</v>
      </c>
      <c r="S59" s="570">
        <f t="shared" ca="1" si="8"/>
        <v>969</v>
      </c>
      <c r="T59" s="570">
        <f t="shared" ca="1" si="8"/>
        <v>974</v>
      </c>
      <c r="U59" s="570">
        <f ca="1">SUM(U41:U57)-SUM(U7:U20)</f>
        <v>963</v>
      </c>
      <c r="V59" s="570">
        <f t="shared" ca="1" si="8"/>
        <v>930</v>
      </c>
      <c r="W59" s="570">
        <f t="shared" ca="1" si="8"/>
        <v>889</v>
      </c>
      <c r="X59" s="570">
        <f t="shared" ca="1" si="8"/>
        <v>879</v>
      </c>
      <c r="Y59" s="570">
        <f t="shared" ca="1" si="8"/>
        <v>971</v>
      </c>
      <c r="Z59" s="213">
        <f ca="1">SUM(Economics!D28:D45)</f>
        <v>-192895.95691156251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379</v>
      </c>
      <c r="C62" s="169">
        <f t="shared" ca="1" si="10"/>
        <v>318</v>
      </c>
      <c r="D62" s="169">
        <f t="shared" ca="1" si="10"/>
        <v>315</v>
      </c>
      <c r="E62" s="169">
        <f t="shared" ca="1" si="10"/>
        <v>318</v>
      </c>
      <c r="F62" s="169">
        <f t="shared" ca="1" si="10"/>
        <v>315</v>
      </c>
      <c r="G62" s="169">
        <f t="shared" ca="1" si="10"/>
        <v>315</v>
      </c>
      <c r="H62" s="169">
        <f t="shared" ca="1" si="10"/>
        <v>315</v>
      </c>
      <c r="I62" s="169">
        <f t="shared" ca="1" si="10"/>
        <v>471</v>
      </c>
      <c r="J62" s="169">
        <f t="shared" ca="1" si="10"/>
        <v>458</v>
      </c>
      <c r="K62" s="169">
        <f t="shared" ca="1" si="10"/>
        <v>438</v>
      </c>
      <c r="L62" s="169">
        <f t="shared" ca="1" si="10"/>
        <v>422</v>
      </c>
      <c r="M62" s="169">
        <f t="shared" ca="1" si="10"/>
        <v>390</v>
      </c>
      <c r="N62" s="169">
        <f t="shared" ca="1" si="10"/>
        <v>387</v>
      </c>
      <c r="O62" s="169">
        <f t="shared" ca="1" si="10"/>
        <v>399</v>
      </c>
      <c r="P62" s="169">
        <f t="shared" ca="1" si="10"/>
        <v>390</v>
      </c>
      <c r="Q62" s="169">
        <f t="shared" ca="1" si="10"/>
        <v>422</v>
      </c>
      <c r="R62" s="169">
        <f t="shared" ca="1" si="10"/>
        <v>410</v>
      </c>
      <c r="S62" s="169">
        <f t="shared" ca="1" si="10"/>
        <v>410</v>
      </c>
      <c r="T62" s="169">
        <f t="shared" ca="1" si="10"/>
        <v>410</v>
      </c>
      <c r="U62" s="169">
        <f t="shared" ca="1" si="10"/>
        <v>413</v>
      </c>
      <c r="V62" s="169">
        <f t="shared" ca="1" si="10"/>
        <v>428</v>
      </c>
      <c r="W62" s="169">
        <f t="shared" ca="1" si="10"/>
        <v>444</v>
      </c>
      <c r="X62" s="169">
        <f t="shared" ca="1" si="10"/>
        <v>444</v>
      </c>
      <c r="Y62" s="170">
        <f t="shared" ca="1" si="10"/>
        <v>291</v>
      </c>
      <c r="Z62" s="191"/>
      <c r="AA62" s="162"/>
    </row>
    <row r="63" spans="1:27" s="161" customFormat="1" ht="12" x14ac:dyDescent="0.2">
      <c r="A63" s="193" t="s">
        <v>140</v>
      </c>
      <c r="B63" s="169">
        <f t="shared" ref="B63:L63" ca="1" si="11">-SUM(B8:B10,B25:B28) + SUM(B56:B57)</f>
        <v>-47</v>
      </c>
      <c r="C63" s="169">
        <f t="shared" ca="1" si="11"/>
        <v>-23</v>
      </c>
      <c r="D63" s="169">
        <f t="shared" ca="1" si="11"/>
        <v>-23</v>
      </c>
      <c r="E63" s="169">
        <f t="shared" ca="1" si="11"/>
        <v>-22</v>
      </c>
      <c r="F63" s="169">
        <f t="shared" ca="1" si="11"/>
        <v>-23</v>
      </c>
      <c r="G63" s="169">
        <f t="shared" ca="1" si="11"/>
        <v>-23</v>
      </c>
      <c r="H63" s="169">
        <f t="shared" ca="1" si="11"/>
        <v>-23</v>
      </c>
      <c r="I63" s="169">
        <f t="shared" ca="1" si="11"/>
        <v>-98</v>
      </c>
      <c r="J63" s="169">
        <f t="shared" ca="1" si="11"/>
        <v>-48</v>
      </c>
      <c r="K63" s="169">
        <f t="shared" ca="1" si="11"/>
        <v>-23</v>
      </c>
      <c r="L63" s="169">
        <f t="shared" ca="1" si="11"/>
        <v>2</v>
      </c>
      <c r="M63" s="169">
        <f ca="1">-SUM(M8:M10,M25:M28) + SUM(M57:M57)</f>
        <v>0</v>
      </c>
      <c r="N63" s="169">
        <f t="shared" ref="N63:Y63" ca="1" si="12">-SUM(N8:N10,N25:N28) + SUM(N56:N57)</f>
        <v>75</v>
      </c>
      <c r="O63" s="169">
        <f t="shared" ca="1" si="12"/>
        <v>75</v>
      </c>
      <c r="P63" s="169">
        <f t="shared" ca="1" si="12"/>
        <v>75</v>
      </c>
      <c r="Q63" s="169">
        <f t="shared" ca="1" si="12"/>
        <v>50</v>
      </c>
      <c r="R63" s="169">
        <f t="shared" ca="1" si="12"/>
        <v>50</v>
      </c>
      <c r="S63" s="169">
        <f t="shared" ca="1" si="12"/>
        <v>50</v>
      </c>
      <c r="T63" s="169">
        <f t="shared" ca="1" si="12"/>
        <v>50</v>
      </c>
      <c r="U63" s="169">
        <f t="shared" ca="1" si="12"/>
        <v>50</v>
      </c>
      <c r="V63" s="169">
        <f t="shared" ca="1" si="12"/>
        <v>50</v>
      </c>
      <c r="W63" s="169">
        <f t="shared" ca="1" si="12"/>
        <v>9</v>
      </c>
      <c r="X63" s="169">
        <f t="shared" ca="1" si="12"/>
        <v>-23</v>
      </c>
      <c r="Y63" s="170">
        <f t="shared" ca="1" si="12"/>
        <v>27</v>
      </c>
      <c r="Z63" s="191"/>
      <c r="AA63" s="162"/>
    </row>
    <row r="64" spans="1:27" s="161" customFormat="1" ht="12" x14ac:dyDescent="0.2">
      <c r="A64" s="193" t="s">
        <v>141</v>
      </c>
      <c r="B64" s="169">
        <f ca="1">IF(B62+B63&gt;645,"err",B62+B63)</f>
        <v>332</v>
      </c>
      <c r="C64" s="169">
        <f t="shared" ref="C64:Y64" ca="1" si="13">IF(C62+C63&gt;645,"err",C62+C63)</f>
        <v>295</v>
      </c>
      <c r="D64" s="169">
        <f t="shared" ca="1" si="13"/>
        <v>292</v>
      </c>
      <c r="E64" s="169">
        <f t="shared" ca="1" si="13"/>
        <v>296</v>
      </c>
      <c r="F64" s="169">
        <f t="shared" ca="1" si="13"/>
        <v>292</v>
      </c>
      <c r="G64" s="169">
        <f t="shared" ca="1" si="13"/>
        <v>292</v>
      </c>
      <c r="H64" s="169">
        <f t="shared" ca="1" si="13"/>
        <v>292</v>
      </c>
      <c r="I64" s="169">
        <f t="shared" ca="1" si="13"/>
        <v>373</v>
      </c>
      <c r="J64" s="169">
        <f t="shared" ca="1" si="13"/>
        <v>410</v>
      </c>
      <c r="K64" s="169">
        <f t="shared" ca="1" si="13"/>
        <v>415</v>
      </c>
      <c r="L64" s="169">
        <f t="shared" ca="1" si="13"/>
        <v>424</v>
      </c>
      <c r="M64" s="169">
        <f t="shared" ca="1" si="13"/>
        <v>390</v>
      </c>
      <c r="N64" s="169">
        <f t="shared" ca="1" si="13"/>
        <v>462</v>
      </c>
      <c r="O64" s="169">
        <f t="shared" ca="1" si="13"/>
        <v>474</v>
      </c>
      <c r="P64" s="169">
        <f t="shared" ca="1" si="13"/>
        <v>465</v>
      </c>
      <c r="Q64" s="169">
        <f t="shared" ca="1" si="13"/>
        <v>472</v>
      </c>
      <c r="R64" s="169">
        <f t="shared" ca="1" si="13"/>
        <v>460</v>
      </c>
      <c r="S64" s="169">
        <f t="shared" ca="1" si="13"/>
        <v>460</v>
      </c>
      <c r="T64" s="169">
        <f t="shared" ca="1" si="13"/>
        <v>460</v>
      </c>
      <c r="U64" s="169">
        <f t="shared" ca="1" si="13"/>
        <v>463</v>
      </c>
      <c r="V64" s="169">
        <f t="shared" ca="1" si="13"/>
        <v>478</v>
      </c>
      <c r="W64" s="169">
        <f t="shared" ca="1" si="13"/>
        <v>453</v>
      </c>
      <c r="X64" s="169">
        <f t="shared" ca="1" si="13"/>
        <v>421</v>
      </c>
      <c r="Y64" s="170">
        <f t="shared" ca="1" si="13"/>
        <v>318</v>
      </c>
      <c r="Z64" s="192"/>
      <c r="AA64" s="162"/>
    </row>
    <row r="65" spans="1:27" s="161" customFormat="1" ht="12" x14ac:dyDescent="0.2">
      <c r="A65" s="193" t="s">
        <v>18</v>
      </c>
      <c r="B65" s="169">
        <f ca="1">SUM(B61:B63)</f>
        <v>435</v>
      </c>
      <c r="C65" s="169">
        <f t="shared" ref="C65:Y65" ca="1" si="14">SUM(C61:C63)</f>
        <v>398</v>
      </c>
      <c r="D65" s="169">
        <f t="shared" ca="1" si="14"/>
        <v>395</v>
      </c>
      <c r="E65" s="169">
        <f t="shared" ca="1" si="14"/>
        <v>399</v>
      </c>
      <c r="F65" s="169">
        <f t="shared" ca="1" si="14"/>
        <v>395</v>
      </c>
      <c r="G65" s="169">
        <f t="shared" ca="1" si="14"/>
        <v>395</v>
      </c>
      <c r="H65" s="169">
        <f t="shared" ca="1" si="14"/>
        <v>395</v>
      </c>
      <c r="I65" s="169">
        <f t="shared" ca="1" si="14"/>
        <v>476</v>
      </c>
      <c r="J65" s="169">
        <f t="shared" ca="1" si="14"/>
        <v>513</v>
      </c>
      <c r="K65" s="169">
        <f t="shared" ca="1" si="14"/>
        <v>518</v>
      </c>
      <c r="L65" s="169">
        <f t="shared" ca="1" si="14"/>
        <v>527</v>
      </c>
      <c r="M65" s="169">
        <f t="shared" ca="1" si="14"/>
        <v>390</v>
      </c>
      <c r="N65" s="169">
        <f t="shared" ca="1" si="14"/>
        <v>565</v>
      </c>
      <c r="O65" s="169">
        <f t="shared" ca="1" si="14"/>
        <v>577</v>
      </c>
      <c r="P65" s="169">
        <f t="shared" ca="1" si="14"/>
        <v>568</v>
      </c>
      <c r="Q65" s="169">
        <f t="shared" ca="1" si="14"/>
        <v>575</v>
      </c>
      <c r="R65" s="169">
        <f t="shared" ca="1" si="14"/>
        <v>563</v>
      </c>
      <c r="S65" s="169">
        <f t="shared" ca="1" si="14"/>
        <v>563</v>
      </c>
      <c r="T65" s="169">
        <f t="shared" ca="1" si="14"/>
        <v>563</v>
      </c>
      <c r="U65" s="169">
        <f t="shared" ca="1" si="14"/>
        <v>566</v>
      </c>
      <c r="V65" s="169">
        <f t="shared" ca="1" si="14"/>
        <v>581</v>
      </c>
      <c r="W65" s="169">
        <f t="shared" ca="1" si="14"/>
        <v>556</v>
      </c>
      <c r="X65" s="169">
        <f t="shared" ca="1" si="14"/>
        <v>524</v>
      </c>
      <c r="Y65" s="170">
        <f t="shared" ca="1" si="14"/>
        <v>421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192</v>
      </c>
      <c r="C67" s="169">
        <f t="array" ref="C67">SUM(IF(C$41:C$55 = 0,0,$Z$41:$Z$55-C$41:C$55))-INDEX(Balancing!$R$4:$R$27,C$3)</f>
        <v>175</v>
      </c>
      <c r="D67" s="169">
        <f t="array" ref="D67">SUM(IF(D$41:D$55 = 0,0,$Z$41:$Z$55-D$41:D$55))-INDEX(Balancing!$R$4:$R$27,D$3)</f>
        <v>170</v>
      </c>
      <c r="E67" s="169">
        <f t="array" ref="E67">SUM(IF(E$41:E$55 = 0,0,$Z$41:$Z$55-E$41:E$55))-INDEX(Balancing!$R$4:$R$27,E$3)</f>
        <v>182</v>
      </c>
      <c r="F67" s="169">
        <f t="array" ref="F67">SUM(IF(F$41:F$55 = 0,0,$Z$41:$Z$55-F$41:F$55))-INDEX(Balancing!$R$4:$R$27,F$3)</f>
        <v>185</v>
      </c>
      <c r="G67" s="169">
        <f t="array" ref="G67">SUM(IF(G$41:G$55 = 0,0,$Z$41:$Z$55-G$41:G$55))-INDEX(Balancing!$R$4:$R$27,G$3)</f>
        <v>145</v>
      </c>
      <c r="H67" s="169">
        <f t="array" ref="H67">SUM(IF(H$41:H$55 = 0,0,$Z$41:$Z$55-H$41:H$55))-INDEX(Balancing!$R$4:$R$27,H$3)</f>
        <v>132</v>
      </c>
      <c r="I67" s="169">
        <f t="array" ref="I67">SUM(IF(I$41:I$55 = 0,0,$Z$41:$Z$55-I$41:I$55))-INDEX(Balancing!$R$4:$R$27,I$3)</f>
        <v>187</v>
      </c>
      <c r="J67" s="169">
        <f t="array" ref="J67">SUM(IF(J$41:J$55 = 0,0,$Z$41:$Z$55-J$41:J$55))-INDEX(Balancing!$R$4:$R$27,J$3)</f>
        <v>194</v>
      </c>
      <c r="K67" s="169">
        <f t="array" ref="K67">SUM(IF(K$41:K$55 = 0,0,$Z$41:$Z$55-K$41:K$55))-INDEX(Balancing!$R$4:$R$27,K$3)</f>
        <v>160</v>
      </c>
      <c r="L67" s="169">
        <f t="array" ref="L67">SUM(IF(L$41:L$55 = 0,0,$Z$41:$Z$55-L$41:L$55))-INDEX(Balancing!$R$4:$R$27,L$3)</f>
        <v>143</v>
      </c>
      <c r="M67" s="169">
        <f t="array" ref="M67">SUM(IF(M$41:M$55 = 0,0,$Z$41:$Z$55-M$41:M$55))-INDEX(Balancing!$R$4:$R$27,M$3)</f>
        <v>198</v>
      </c>
      <c r="N67" s="169">
        <v>179</v>
      </c>
      <c r="O67" s="169">
        <f t="array" ref="O67">SUM(IF(O$41:O$55 = 0,0,$Z$41:$Z$55-O$41:O$55))-INDEX(Balancing!$R$4:$R$27,O$3)</f>
        <v>192</v>
      </c>
      <c r="P67" s="169">
        <f t="array" ref="P67">SUM(IF(P$41:P$55 = 0,0,$Z$41:$Z$55-P$41:P$55))-INDEX(Balancing!$R$4:$R$27,P$3)</f>
        <v>202</v>
      </c>
      <c r="Q67" s="169">
        <f t="array" ref="Q67">SUM(IF(Q$41:Q$55 = 0,0,$Z$41:$Z$55-Q$41:Q$55))-INDEX(Balancing!$R$4:$R$27,Q$3)</f>
        <v>192</v>
      </c>
      <c r="R67" s="169">
        <f t="array" ref="R67">SUM(IF(R$41:R$55 = 0,0,$Z$41:$Z$55-R$41:R$55))-INDEX(Balancing!$R$4:$R$27,R$3)</f>
        <v>211</v>
      </c>
      <c r="S67" s="169">
        <f t="array" ref="S67">SUM(IF(S$41:S$55 = 0,0,$Z$41:$Z$55-S$41:S$55))-INDEX(Balancing!$R$4:$R$27,S$3)</f>
        <v>135</v>
      </c>
      <c r="T67" s="169">
        <f t="array" ref="T67">SUM(IF(T$41:T$55 = 0,0,$Z$41:$Z$55-T$41:T$55))-INDEX(Balancing!$R$4:$R$27,T$3)</f>
        <v>130</v>
      </c>
      <c r="U67" s="169">
        <f t="array" ref="U67">SUM(IF(U$41:U$55 = 0,0,$Z$41:$Z$55-U$41:U$55))-INDEX(Balancing!$R$4:$R$27,U$3)</f>
        <v>141</v>
      </c>
      <c r="V67" s="169">
        <f t="array" ref="V67">SUM(IF(V$41:V$55 = 0,0,$Z$41:$Z$55-V$41:V$55))-INDEX(Balancing!$R$4:$R$27,V$3)</f>
        <v>174</v>
      </c>
      <c r="W67" s="169">
        <f t="array" ref="W67">SUM(IF(W$41:W$55 = 0,0,$Z$41:$Z$55-W$41:W$55))-INDEX(Balancing!$R$4:$R$27,W$3)</f>
        <v>174</v>
      </c>
      <c r="X67" s="169">
        <f t="array" ref="X67">SUM(IF(X$41:X$55 = 0,0,$Z$41:$Z$55-X$41:X$55))-INDEX(Balancing!$R$4:$R$27,X$3)</f>
        <v>177</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41</v>
      </c>
      <c r="D69" s="171">
        <f t="shared" si="15"/>
        <v>40</v>
      </c>
      <c r="E69" s="171">
        <f t="shared" si="15"/>
        <v>40</v>
      </c>
      <c r="F69" s="171">
        <f t="shared" si="15"/>
        <v>40</v>
      </c>
      <c r="G69" s="171">
        <f t="shared" si="15"/>
        <v>42</v>
      </c>
      <c r="H69" s="171">
        <f t="shared" ref="H69:X69" si="16">IF(H67&lt;0.07*I4,"err",ROUND(I4*0.07,0))</f>
        <v>45</v>
      </c>
      <c r="I69" s="171">
        <f t="shared" si="16"/>
        <v>46</v>
      </c>
      <c r="J69" s="171">
        <f t="shared" si="16"/>
        <v>49</v>
      </c>
      <c r="K69" s="171">
        <f t="shared" si="16"/>
        <v>50</v>
      </c>
      <c r="L69" s="171">
        <f t="shared" si="16"/>
        <v>49</v>
      </c>
      <c r="M69" s="171">
        <f t="shared" si="16"/>
        <v>50</v>
      </c>
      <c r="N69" s="171">
        <f t="shared" si="16"/>
        <v>49</v>
      </c>
      <c r="O69" s="171">
        <f t="shared" si="16"/>
        <v>49</v>
      </c>
      <c r="P69" s="171">
        <f t="shared" si="16"/>
        <v>49</v>
      </c>
      <c r="Q69" s="171">
        <f t="shared" si="16"/>
        <v>49</v>
      </c>
      <c r="R69" s="171">
        <f t="shared" si="16"/>
        <v>54</v>
      </c>
      <c r="S69" s="171">
        <f t="shared" si="16"/>
        <v>55</v>
      </c>
      <c r="T69" s="171">
        <f t="shared" si="16"/>
        <v>54</v>
      </c>
      <c r="U69" s="171">
        <f t="shared" si="16"/>
        <v>52</v>
      </c>
      <c r="V69" s="171">
        <f t="shared" si="16"/>
        <v>50</v>
      </c>
      <c r="W69" s="171">
        <f t="shared" si="16"/>
        <v>48</v>
      </c>
      <c r="X69" s="171">
        <f t="shared" si="16"/>
        <v>44</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190</v>
      </c>
      <c r="C78" s="469">
        <f t="shared" ca="1" si="17"/>
        <v>170</v>
      </c>
      <c r="D78" s="469">
        <f t="shared" ca="1" si="17"/>
        <v>170</v>
      </c>
      <c r="E78" s="469">
        <f ca="1">(E22+E25+E29)</f>
        <v>170</v>
      </c>
      <c r="F78" s="469">
        <f t="shared" ca="1" si="17"/>
        <v>170</v>
      </c>
      <c r="G78" s="469">
        <f ca="1">(G22+G25+G29)</f>
        <v>170</v>
      </c>
      <c r="H78" s="469">
        <f ca="1">(H22+H25+H29)</f>
        <v>170</v>
      </c>
      <c r="I78" s="469">
        <f ca="1">(I22+I25+I29)</f>
        <v>120</v>
      </c>
      <c r="J78" s="469">
        <f ca="1">(J22+J25+J29)</f>
        <v>130</v>
      </c>
      <c r="K78" s="469">
        <f t="shared" ca="1" si="17"/>
        <v>150</v>
      </c>
      <c r="L78" s="469">
        <f t="shared" ca="1" si="17"/>
        <v>175</v>
      </c>
      <c r="M78" s="469">
        <f t="shared" ca="1" si="17"/>
        <v>198</v>
      </c>
      <c r="N78" s="469">
        <f t="shared" ca="1" si="17"/>
        <v>198</v>
      </c>
      <c r="O78" s="469">
        <f t="shared" ca="1" si="17"/>
        <v>198</v>
      </c>
      <c r="P78" s="469">
        <f t="shared" ca="1" si="17"/>
        <v>198</v>
      </c>
      <c r="Q78" s="469">
        <f t="shared" ca="1" si="17"/>
        <v>175</v>
      </c>
      <c r="R78" s="469">
        <f t="shared" ca="1" si="17"/>
        <v>175</v>
      </c>
      <c r="S78" s="469">
        <f t="shared" ca="1" si="17"/>
        <v>175</v>
      </c>
      <c r="T78" s="469">
        <f t="shared" ca="1" si="17"/>
        <v>175</v>
      </c>
      <c r="U78" s="469">
        <f t="shared" ca="1" si="17"/>
        <v>175</v>
      </c>
      <c r="V78" s="469">
        <f t="shared" ca="1" si="17"/>
        <v>160</v>
      </c>
      <c r="W78" s="469">
        <f t="shared" ca="1" si="17"/>
        <v>150</v>
      </c>
      <c r="X78" s="469">
        <f t="shared" ca="1" si="17"/>
        <v>150</v>
      </c>
      <c r="Y78" s="469">
        <f t="shared" ca="1" si="17"/>
        <v>200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4112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f ca="1">SUM(Z90,Z93,Z96,Z99,Z102,Z107,Z112,Z117,Z122,Z127,Z132,Z137,Z142,Z147,Z152,Z157,Z162)</f>
        <v>235637.92455355506</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3</v>
      </c>
      <c r="C89" s="228">
        <f t="shared" si="18"/>
        <v>2</v>
      </c>
      <c r="D89" s="228">
        <f t="shared" si="18"/>
        <v>2</v>
      </c>
      <c r="E89" s="228">
        <f>E56</f>
        <v>3</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75</v>
      </c>
      <c r="O89" s="228">
        <f t="shared" si="18"/>
        <v>75</v>
      </c>
      <c r="P89" s="228">
        <f t="shared" si="18"/>
        <v>75</v>
      </c>
      <c r="Q89" s="228">
        <f t="shared" si="18"/>
        <v>50</v>
      </c>
      <c r="R89" s="228">
        <f t="shared" si="18"/>
        <v>50</v>
      </c>
      <c r="S89" s="228">
        <f t="shared" si="18"/>
        <v>50</v>
      </c>
      <c r="T89" s="228">
        <f t="shared" si="18"/>
        <v>50</v>
      </c>
      <c r="U89" s="228">
        <f t="shared" si="18"/>
        <v>50</v>
      </c>
      <c r="V89" s="228">
        <f t="shared" si="18"/>
        <v>50</v>
      </c>
      <c r="W89" s="228">
        <f t="shared" si="18"/>
        <v>9</v>
      </c>
      <c r="X89" s="228">
        <f t="shared" si="18"/>
        <v>2</v>
      </c>
      <c r="Y89" s="228">
        <f t="shared" si="18"/>
        <v>2</v>
      </c>
      <c r="Z89" s="257">
        <f t="array" ref="Z89">SUM(B89:Y89*Economics!F$28)</f>
        <v>7348.0825600000035</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100</v>
      </c>
      <c r="C91" s="206">
        <f t="shared" si="19"/>
        <v>50</v>
      </c>
      <c r="D91" s="206">
        <f t="shared" si="19"/>
        <v>0</v>
      </c>
      <c r="E91" s="206">
        <f t="shared" si="19"/>
        <v>-1</v>
      </c>
      <c r="F91" s="206">
        <f t="shared" si="19"/>
        <v>0</v>
      </c>
      <c r="G91" s="206">
        <f t="shared" si="19"/>
        <v>0</v>
      </c>
      <c r="H91" s="206">
        <f t="shared" si="19"/>
        <v>50</v>
      </c>
      <c r="I91" s="206">
        <f t="shared" si="19"/>
        <v>50</v>
      </c>
      <c r="J91" s="206">
        <f t="shared" si="19"/>
        <v>50</v>
      </c>
      <c r="K91" s="206">
        <f t="shared" si="19"/>
        <v>50</v>
      </c>
      <c r="L91" s="206">
        <f t="shared" si="19"/>
        <v>101</v>
      </c>
      <c r="M91" s="206">
        <f t="shared" si="19"/>
        <v>103</v>
      </c>
      <c r="N91" s="206">
        <f t="shared" si="19"/>
        <v>28</v>
      </c>
      <c r="O91" s="206">
        <f t="shared" si="19"/>
        <v>28</v>
      </c>
      <c r="P91" s="206">
        <f t="shared" si="19"/>
        <v>28</v>
      </c>
      <c r="Q91" s="206">
        <f t="shared" si="19"/>
        <v>53</v>
      </c>
      <c r="R91" s="206">
        <f t="shared" si="19"/>
        <v>53</v>
      </c>
      <c r="S91" s="206">
        <f t="shared" si="19"/>
        <v>53</v>
      </c>
      <c r="T91" s="206">
        <f t="shared" si="19"/>
        <v>53</v>
      </c>
      <c r="U91" s="206">
        <f t="shared" si="19"/>
        <v>53</v>
      </c>
      <c r="V91" s="206">
        <f t="shared" si="19"/>
        <v>2</v>
      </c>
      <c r="W91" s="206">
        <f t="shared" si="19"/>
        <v>43</v>
      </c>
      <c r="X91" s="206">
        <f t="shared" si="19"/>
        <v>50</v>
      </c>
      <c r="Y91" s="206">
        <f t="shared" si="19"/>
        <v>50</v>
      </c>
      <c r="Z91" s="260">
        <f>Z89-Z90</f>
        <v>-13689.399359999992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199</v>
      </c>
      <c r="C95" s="181">
        <f t="shared" si="22"/>
        <v>197</v>
      </c>
      <c r="D95" s="181">
        <f t="shared" si="22"/>
        <v>196</v>
      </c>
      <c r="E95" s="181">
        <f>E53</f>
        <v>197</v>
      </c>
      <c r="F95" s="181">
        <f t="shared" si="22"/>
        <v>196</v>
      </c>
      <c r="G95" s="181">
        <f t="shared" si="22"/>
        <v>196</v>
      </c>
      <c r="H95" s="181">
        <f t="shared" si="22"/>
        <v>196</v>
      </c>
      <c r="I95" s="181">
        <f t="shared" si="22"/>
        <v>197</v>
      </c>
      <c r="J95" s="181">
        <f t="shared" si="22"/>
        <v>196</v>
      </c>
      <c r="K95" s="181">
        <f t="shared" si="22"/>
        <v>196</v>
      </c>
      <c r="L95" s="181">
        <f t="shared" si="22"/>
        <v>199</v>
      </c>
      <c r="M95" s="181">
        <f t="shared" si="22"/>
        <v>196</v>
      </c>
      <c r="N95" s="181">
        <f t="shared" si="22"/>
        <v>195</v>
      </c>
      <c r="O95" s="181">
        <f t="shared" si="22"/>
        <v>199</v>
      </c>
      <c r="P95" s="181">
        <f t="shared" si="22"/>
        <v>196</v>
      </c>
      <c r="Q95" s="181">
        <f t="shared" si="22"/>
        <v>199</v>
      </c>
      <c r="R95" s="181">
        <f t="shared" si="22"/>
        <v>195</v>
      </c>
      <c r="S95" s="181">
        <f t="shared" si="22"/>
        <v>195</v>
      </c>
      <c r="T95" s="181">
        <f t="shared" si="22"/>
        <v>195</v>
      </c>
      <c r="U95" s="181">
        <f t="shared" si="22"/>
        <v>196</v>
      </c>
      <c r="V95" s="181">
        <f t="shared" si="22"/>
        <v>196</v>
      </c>
      <c r="W95" s="181">
        <f t="shared" si="22"/>
        <v>198</v>
      </c>
      <c r="X95" s="181">
        <f t="shared" si="22"/>
        <v>198</v>
      </c>
      <c r="Y95" s="181">
        <f t="shared" si="22"/>
        <v>198</v>
      </c>
      <c r="Z95" s="259">
        <f t="array" ref="Z95">SUM(B95:Y95*Economics!F$30)</f>
        <v>28779.216000000008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3</v>
      </c>
      <c r="D97" s="206">
        <f t="shared" si="23"/>
        <v>4</v>
      </c>
      <c r="E97" s="206">
        <f t="shared" si="23"/>
        <v>3</v>
      </c>
      <c r="F97" s="206">
        <f t="shared" si="23"/>
        <v>4</v>
      </c>
      <c r="G97" s="206">
        <f t="shared" si="23"/>
        <v>4</v>
      </c>
      <c r="H97" s="206">
        <f t="shared" si="23"/>
        <v>4</v>
      </c>
      <c r="I97" s="206">
        <f t="shared" si="23"/>
        <v>3</v>
      </c>
      <c r="J97" s="206">
        <f t="shared" si="23"/>
        <v>4</v>
      </c>
      <c r="K97" s="206">
        <f t="shared" si="23"/>
        <v>4</v>
      </c>
      <c r="L97" s="206">
        <f t="shared" si="23"/>
        <v>1</v>
      </c>
      <c r="M97" s="206">
        <f t="shared" si="23"/>
        <v>4</v>
      </c>
      <c r="N97" s="206">
        <f t="shared" si="23"/>
        <v>5</v>
      </c>
      <c r="O97" s="206">
        <f t="shared" si="23"/>
        <v>1</v>
      </c>
      <c r="P97" s="206">
        <f t="shared" si="23"/>
        <v>4</v>
      </c>
      <c r="Q97" s="206">
        <f t="shared" si="23"/>
        <v>1</v>
      </c>
      <c r="R97" s="206">
        <f t="shared" si="23"/>
        <v>5</v>
      </c>
      <c r="S97" s="206">
        <f t="shared" si="23"/>
        <v>5</v>
      </c>
      <c r="T97" s="206">
        <f t="shared" si="23"/>
        <v>5</v>
      </c>
      <c r="U97" s="206">
        <f t="shared" si="23"/>
        <v>4</v>
      </c>
      <c r="V97" s="206">
        <f t="shared" si="23"/>
        <v>4</v>
      </c>
      <c r="W97" s="206">
        <f t="shared" si="23"/>
        <v>2</v>
      </c>
      <c r="X97" s="206">
        <f t="shared" si="23"/>
        <v>2</v>
      </c>
      <c r="Y97" s="206">
        <f t="shared" si="23"/>
        <v>2</v>
      </c>
      <c r="Z97" s="260">
        <f>Z95-Z96</f>
        <v>-481.58400000000256</v>
      </c>
    </row>
    <row r="98" spans="1:29" x14ac:dyDescent="0.2">
      <c r="A98" s="183" t="str">
        <f>Economics!A31</f>
        <v>PV Unit 2</v>
      </c>
      <c r="B98" s="181">
        <f t="shared" ref="B98:Y98" si="24">B54</f>
        <v>199</v>
      </c>
      <c r="C98" s="181">
        <f t="shared" si="24"/>
        <v>197</v>
      </c>
      <c r="D98" s="181">
        <f t="shared" si="24"/>
        <v>196</v>
      </c>
      <c r="E98" s="181">
        <f>E54</f>
        <v>197</v>
      </c>
      <c r="F98" s="181">
        <f t="shared" si="24"/>
        <v>196</v>
      </c>
      <c r="G98" s="181">
        <f t="shared" si="24"/>
        <v>196</v>
      </c>
      <c r="H98" s="181">
        <f t="shared" si="24"/>
        <v>196</v>
      </c>
      <c r="I98" s="181">
        <f t="shared" si="24"/>
        <v>197</v>
      </c>
      <c r="J98" s="181">
        <f t="shared" si="24"/>
        <v>196</v>
      </c>
      <c r="K98" s="181">
        <f t="shared" si="24"/>
        <v>196</v>
      </c>
      <c r="L98" s="181">
        <f t="shared" si="24"/>
        <v>199</v>
      </c>
      <c r="M98" s="181">
        <f t="shared" si="24"/>
        <v>196</v>
      </c>
      <c r="N98" s="181">
        <f t="shared" si="24"/>
        <v>195</v>
      </c>
      <c r="O98" s="181">
        <f t="shared" si="24"/>
        <v>199</v>
      </c>
      <c r="P98" s="181">
        <f t="shared" si="24"/>
        <v>196</v>
      </c>
      <c r="Q98" s="181">
        <f t="shared" si="24"/>
        <v>199</v>
      </c>
      <c r="R98" s="181">
        <f t="shared" si="24"/>
        <v>195</v>
      </c>
      <c r="S98" s="181">
        <f t="shared" si="24"/>
        <v>195</v>
      </c>
      <c r="T98" s="181">
        <f t="shared" si="24"/>
        <v>195</v>
      </c>
      <c r="U98" s="181">
        <f t="shared" si="24"/>
        <v>196</v>
      </c>
      <c r="V98" s="181">
        <f t="shared" si="24"/>
        <v>196</v>
      </c>
      <c r="W98" s="181">
        <f t="shared" si="24"/>
        <v>198</v>
      </c>
      <c r="X98" s="181">
        <f t="shared" si="24"/>
        <v>198</v>
      </c>
      <c r="Y98" s="181">
        <f t="shared" si="24"/>
        <v>198</v>
      </c>
      <c r="Z98" s="259">
        <f t="array" ref="Z98">SUM(B98:Y98*Economics!F$31)</f>
        <v>28779.216000000008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-5</v>
      </c>
      <c r="C100" s="206">
        <f t="shared" si="25"/>
        <v>-3</v>
      </c>
      <c r="D100" s="206">
        <f t="shared" si="25"/>
        <v>-2</v>
      </c>
      <c r="E100" s="206">
        <f t="shared" si="25"/>
        <v>-3</v>
      </c>
      <c r="F100" s="206">
        <f t="shared" si="25"/>
        <v>-1</v>
      </c>
      <c r="G100" s="206">
        <f t="shared" si="25"/>
        <v>-1</v>
      </c>
      <c r="H100" s="206">
        <f t="shared" si="25"/>
        <v>-1</v>
      </c>
      <c r="I100" s="206">
        <f t="shared" si="25"/>
        <v>-2</v>
      </c>
      <c r="J100" s="206">
        <f t="shared" si="25"/>
        <v>-1</v>
      </c>
      <c r="K100" s="206">
        <f t="shared" si="25"/>
        <v>-1</v>
      </c>
      <c r="L100" s="206">
        <f t="shared" si="25"/>
        <v>-4</v>
      </c>
      <c r="M100" s="206">
        <f t="shared" si="25"/>
        <v>-1</v>
      </c>
      <c r="N100" s="206">
        <f t="shared" si="25"/>
        <v>0</v>
      </c>
      <c r="O100" s="206">
        <f t="shared" si="25"/>
        <v>-4</v>
      </c>
      <c r="P100" s="206">
        <f t="shared" si="25"/>
        <v>-1</v>
      </c>
      <c r="Q100" s="206">
        <f t="shared" si="25"/>
        <v>-4</v>
      </c>
      <c r="R100" s="206">
        <f t="shared" si="25"/>
        <v>0</v>
      </c>
      <c r="S100" s="206">
        <f t="shared" si="25"/>
        <v>0</v>
      </c>
      <c r="T100" s="206">
        <f t="shared" si="25"/>
        <v>0</v>
      </c>
      <c r="U100" s="206">
        <f t="shared" si="25"/>
        <v>-1</v>
      </c>
      <c r="V100" s="206">
        <f t="shared" si="25"/>
        <v>-1</v>
      </c>
      <c r="W100" s="206">
        <f t="shared" si="25"/>
        <v>-3</v>
      </c>
      <c r="X100" s="206">
        <f t="shared" si="25"/>
        <v>-3</v>
      </c>
      <c r="Y100" s="206">
        <f t="shared" si="25"/>
        <v>-3</v>
      </c>
      <c r="Z100" s="260">
        <f>Z98-Z99</f>
        <v>274.31999999999971</v>
      </c>
    </row>
    <row r="101" spans="1:29" x14ac:dyDescent="0.2">
      <c r="A101" s="183" t="str">
        <f>Economics!A32</f>
        <v>PV Unit 3</v>
      </c>
      <c r="B101" s="181">
        <f t="shared" ref="B101:Y101" si="26">B55</f>
        <v>199</v>
      </c>
      <c r="C101" s="181">
        <f t="shared" si="26"/>
        <v>197</v>
      </c>
      <c r="D101" s="181">
        <f t="shared" si="26"/>
        <v>196</v>
      </c>
      <c r="E101" s="181">
        <f>E55</f>
        <v>197</v>
      </c>
      <c r="F101" s="181">
        <f t="shared" si="26"/>
        <v>196</v>
      </c>
      <c r="G101" s="181">
        <f t="shared" si="26"/>
        <v>196</v>
      </c>
      <c r="H101" s="181">
        <f t="shared" si="26"/>
        <v>196</v>
      </c>
      <c r="I101" s="181">
        <f t="shared" si="26"/>
        <v>197</v>
      </c>
      <c r="J101" s="181">
        <f t="shared" si="26"/>
        <v>196</v>
      </c>
      <c r="K101" s="181">
        <f t="shared" si="26"/>
        <v>196</v>
      </c>
      <c r="L101" s="181">
        <f t="shared" si="26"/>
        <v>199</v>
      </c>
      <c r="M101" s="181">
        <f t="shared" si="26"/>
        <v>196</v>
      </c>
      <c r="N101" s="181">
        <f t="shared" si="26"/>
        <v>195</v>
      </c>
      <c r="O101" s="181">
        <f t="shared" si="26"/>
        <v>199</v>
      </c>
      <c r="P101" s="181">
        <f t="shared" si="26"/>
        <v>196</v>
      </c>
      <c r="Q101" s="181">
        <f t="shared" si="26"/>
        <v>199</v>
      </c>
      <c r="R101" s="181">
        <f t="shared" si="26"/>
        <v>195</v>
      </c>
      <c r="S101" s="181">
        <f t="shared" si="26"/>
        <v>195</v>
      </c>
      <c r="T101" s="181">
        <f t="shared" si="26"/>
        <v>195</v>
      </c>
      <c r="U101" s="181">
        <f t="shared" si="26"/>
        <v>196</v>
      </c>
      <c r="V101" s="181">
        <f t="shared" si="26"/>
        <v>196</v>
      </c>
      <c r="W101" s="181">
        <f t="shared" si="26"/>
        <v>198</v>
      </c>
      <c r="X101" s="181">
        <f t="shared" si="26"/>
        <v>198</v>
      </c>
      <c r="Y101" s="181">
        <f t="shared" si="26"/>
        <v>198</v>
      </c>
      <c r="Z101" s="259">
        <f t="array" ref="Z101">SUM(B101:Y101*Economics!F$32)</f>
        <v>28779.216000000008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3</v>
      </c>
      <c r="D103" s="206">
        <f t="shared" si="27"/>
        <v>4</v>
      </c>
      <c r="E103" s="206">
        <f t="shared" si="27"/>
        <v>3</v>
      </c>
      <c r="F103" s="206">
        <f t="shared" si="27"/>
        <v>4</v>
      </c>
      <c r="G103" s="206">
        <f t="shared" si="27"/>
        <v>4</v>
      </c>
      <c r="H103" s="206">
        <f t="shared" si="27"/>
        <v>4</v>
      </c>
      <c r="I103" s="206">
        <f t="shared" si="27"/>
        <v>3</v>
      </c>
      <c r="J103" s="206">
        <f t="shared" si="27"/>
        <v>4</v>
      </c>
      <c r="K103" s="206">
        <f t="shared" si="27"/>
        <v>4</v>
      </c>
      <c r="L103" s="206">
        <f t="shared" si="27"/>
        <v>1</v>
      </c>
      <c r="M103" s="206">
        <f t="shared" si="27"/>
        <v>4</v>
      </c>
      <c r="N103" s="206">
        <f t="shared" si="27"/>
        <v>5</v>
      </c>
      <c r="O103" s="206">
        <f t="shared" si="27"/>
        <v>1</v>
      </c>
      <c r="P103" s="206">
        <f t="shared" si="27"/>
        <v>4</v>
      </c>
      <c r="Q103" s="206">
        <f t="shared" si="27"/>
        <v>1</v>
      </c>
      <c r="R103" s="206">
        <f t="shared" si="27"/>
        <v>5</v>
      </c>
      <c r="S103" s="206">
        <f t="shared" si="27"/>
        <v>5</v>
      </c>
      <c r="T103" s="206">
        <f t="shared" si="27"/>
        <v>5</v>
      </c>
      <c r="U103" s="206">
        <f t="shared" si="27"/>
        <v>4</v>
      </c>
      <c r="V103" s="206">
        <f t="shared" si="27"/>
        <v>4</v>
      </c>
      <c r="W103" s="206">
        <f t="shared" si="27"/>
        <v>2</v>
      </c>
      <c r="X103" s="206">
        <f t="shared" si="27"/>
        <v>2</v>
      </c>
      <c r="Y103" s="206">
        <f t="shared" si="27"/>
        <v>2</v>
      </c>
      <c r="Z103" s="260">
        <f>Z101-Z102</f>
        <v>-481.58400000000256</v>
      </c>
    </row>
    <row r="104" spans="1:29" x14ac:dyDescent="0.2">
      <c r="A104" s="183" t="str">
        <f>Economics!A34</f>
        <v>Newman 1</v>
      </c>
      <c r="B104" s="181">
        <v>31</v>
      </c>
      <c r="C104" s="181">
        <f t="shared" ref="C104:R104" si="28">C41</f>
        <v>39</v>
      </c>
      <c r="D104" s="181">
        <f t="shared" si="28"/>
        <v>39</v>
      </c>
      <c r="E104" s="181">
        <f>E41</f>
        <v>40</v>
      </c>
      <c r="F104" s="181">
        <f t="shared" si="28"/>
        <v>39</v>
      </c>
      <c r="G104" s="181">
        <f t="shared" si="28"/>
        <v>39</v>
      </c>
      <c r="H104" s="181">
        <f t="shared" si="28"/>
        <v>42</v>
      </c>
      <c r="I104" s="181">
        <f>I41</f>
        <v>41</v>
      </c>
      <c r="J104" s="181">
        <f t="shared" si="28"/>
        <v>39</v>
      </c>
      <c r="K104" s="181">
        <f t="shared" si="28"/>
        <v>41</v>
      </c>
      <c r="L104" s="181">
        <f t="shared" si="28"/>
        <v>41</v>
      </c>
      <c r="M104" s="181">
        <f t="shared" si="28"/>
        <v>39</v>
      </c>
      <c r="N104" s="181">
        <f t="shared" si="28"/>
        <v>41</v>
      </c>
      <c r="O104" s="181">
        <f t="shared" si="28"/>
        <v>40</v>
      </c>
      <c r="P104" s="181">
        <f t="shared" si="28"/>
        <v>39</v>
      </c>
      <c r="Q104" s="181">
        <f t="shared" si="28"/>
        <v>34</v>
      </c>
      <c r="R104" s="181">
        <f t="shared" si="28"/>
        <v>34</v>
      </c>
      <c r="S104" s="181">
        <v>34</v>
      </c>
      <c r="T104" s="181">
        <v>34</v>
      </c>
      <c r="U104" s="181">
        <v>34</v>
      </c>
      <c r="V104" s="181">
        <v>34</v>
      </c>
      <c r="W104" s="181">
        <f>W41</f>
        <v>46</v>
      </c>
      <c r="X104" s="181">
        <f>X41</f>
        <v>38</v>
      </c>
      <c r="Y104" s="181">
        <f>Y41</f>
        <v>41</v>
      </c>
      <c r="Z104" s="219">
        <f>SUM(B104:Y104)</f>
        <v>919</v>
      </c>
      <c r="AA104" s="318" t="s">
        <v>166</v>
      </c>
    </row>
    <row r="105" spans="1:29" x14ac:dyDescent="0.2">
      <c r="A105" s="185">
        <f>Economics!$I34</f>
        <v>1.96</v>
      </c>
      <c r="B105" s="189">
        <f t="shared" ref="B105:Y105" ca="1" si="29">IndGencost(B104,OFFSET(HeatRateStart,1,MATCH($A104,HeatRateNames,0)-1,250,1),$A105)</f>
        <v>23.547401890555044</v>
      </c>
      <c r="C105" s="189">
        <f t="shared" ca="1" si="29"/>
        <v>23.022853483985266</v>
      </c>
      <c r="D105" s="189">
        <f t="shared" ca="1" si="29"/>
        <v>23.022853483985266</v>
      </c>
      <c r="E105" s="189">
        <f ca="1">IndGencost(E104,OFFSET(HeatRateStart,1,MATCH($A104,HeatRateNames,0)-1,250,1),$A105)</f>
        <v>22.97335644712448</v>
      </c>
      <c r="F105" s="189">
        <f t="shared" ca="1" si="29"/>
        <v>23.022853483985266</v>
      </c>
      <c r="G105" s="189">
        <f t="shared" ca="1" si="29"/>
        <v>23.022853483985266</v>
      </c>
      <c r="H105" s="189">
        <f t="shared" ca="1" si="29"/>
        <v>22.882270578685034</v>
      </c>
      <c r="I105" s="189">
        <f t="shared" ca="1" si="29"/>
        <v>22.926559773042957</v>
      </c>
      <c r="J105" s="189">
        <f t="shared" ca="1" si="29"/>
        <v>23.022853483985266</v>
      </c>
      <c r="K105" s="189">
        <f t="shared" ca="1" si="29"/>
        <v>22.926559773042957</v>
      </c>
      <c r="L105" s="189">
        <f t="shared" ca="1" si="29"/>
        <v>22.926559773042957</v>
      </c>
      <c r="M105" s="189">
        <f t="shared" ca="1" si="29"/>
        <v>23.022853483985266</v>
      </c>
      <c r="N105" s="189">
        <f t="shared" ca="1" si="29"/>
        <v>22.926559773042957</v>
      </c>
      <c r="O105" s="189">
        <f t="shared" ca="1" si="29"/>
        <v>22.97335644712448</v>
      </c>
      <c r="P105" s="189">
        <f t="shared" ca="1" si="29"/>
        <v>23.022853483985266</v>
      </c>
      <c r="Q105" s="189">
        <f t="shared" ca="1" si="29"/>
        <v>23.319183465619929</v>
      </c>
      <c r="R105" s="189">
        <f t="shared" ca="1" si="29"/>
        <v>23.319183465619929</v>
      </c>
      <c r="S105" s="189">
        <f t="shared" ca="1" si="29"/>
        <v>23.319183465619929</v>
      </c>
      <c r="T105" s="189">
        <f t="shared" ca="1" si="29"/>
        <v>23.319183465619929</v>
      </c>
      <c r="U105" s="189">
        <f t="shared" ca="1" si="29"/>
        <v>23.319183465619929</v>
      </c>
      <c r="V105" s="189">
        <f t="shared" ca="1" si="29"/>
        <v>23.319183465619929</v>
      </c>
      <c r="W105" s="189">
        <f t="shared" ca="1" si="29"/>
        <v>22.726917972762891</v>
      </c>
      <c r="X105" s="189">
        <f t="shared" ca="1" si="29"/>
        <v>23.075264070160518</v>
      </c>
      <c r="Y105" s="189">
        <f t="shared" ca="1" si="29"/>
        <v>22.926559773042957</v>
      </c>
      <c r="Z105" s="259">
        <f t="array" aca="1" ref="Z105" ca="1">SUM(B104:Y104*B105:Y105)</f>
        <v>21193.48878168338</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0.61154564267158307</v>
      </c>
      <c r="D108" s="188">
        <f t="shared" ca="1" si="31"/>
        <v>0.61154564267158307</v>
      </c>
      <c r="E108" s="188">
        <f t="shared" ca="1" si="31"/>
        <v>0.66104267953236828</v>
      </c>
      <c r="F108" s="188">
        <f t="shared" ca="1" si="31"/>
        <v>0.61154564267158307</v>
      </c>
      <c r="G108" s="188">
        <f t="shared" ca="1" si="31"/>
        <v>0.61154564267158307</v>
      </c>
      <c r="H108" s="188">
        <f t="shared" ca="1" si="31"/>
        <v>0.7521285479718145</v>
      </c>
      <c r="I108" s="188">
        <f t="shared" ca="1" si="31"/>
        <v>0.70783935361389183</v>
      </c>
      <c r="J108" s="188">
        <f t="shared" ca="1" si="31"/>
        <v>0.61154564267158307</v>
      </c>
      <c r="K108" s="188">
        <f t="shared" ca="1" si="31"/>
        <v>0.70783935361389183</v>
      </c>
      <c r="L108" s="188">
        <f t="shared" ca="1" si="31"/>
        <v>0.70783935361389183</v>
      </c>
      <c r="M108" s="188">
        <f t="shared" ca="1" si="31"/>
        <v>0.61154564267158307</v>
      </c>
      <c r="N108" s="188">
        <f t="shared" ca="1" si="31"/>
        <v>0.70783935361389183</v>
      </c>
      <c r="O108" s="188">
        <f t="shared" ca="1" si="31"/>
        <v>0.66104267953236828</v>
      </c>
      <c r="P108" s="188">
        <f t="shared" ca="1" si="31"/>
        <v>0.61154564267158307</v>
      </c>
      <c r="Q108" s="188">
        <f t="shared" ca="1" si="31"/>
        <v>0.31521566103691967</v>
      </c>
      <c r="R108" s="188">
        <f t="shared" ca="1" si="31"/>
        <v>0.31521566103691967</v>
      </c>
      <c r="S108" s="188">
        <f t="shared" ca="1" si="31"/>
        <v>0.31521566103691967</v>
      </c>
      <c r="T108" s="188">
        <f t="shared" ca="1" si="31"/>
        <v>0.31521566103691967</v>
      </c>
      <c r="U108" s="188">
        <f t="shared" ca="1" si="31"/>
        <v>0.31521566103691967</v>
      </c>
      <c r="V108" s="188">
        <f t="shared" ca="1" si="31"/>
        <v>0.31521566103691967</v>
      </c>
      <c r="W108" s="188">
        <f t="shared" ca="1" si="31"/>
        <v>0.90748115389395778</v>
      </c>
      <c r="X108" s="188">
        <f t="shared" ca="1" si="31"/>
        <v>0.55913505649633066</v>
      </c>
      <c r="Y108" s="188">
        <f t="shared" ca="1" si="31"/>
        <v>0.70783935361389183</v>
      </c>
      <c r="Z108" s="260">
        <f ca="1">Z105-Z107</f>
        <v>4176.7214104904524</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59">
        <f t="array" aca="1" ref="Z110" ca="1">SUM(B109:Y109*B110:Y110)</f>
        <v>0</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0">
        <f ca="1">Z110-Z112</f>
        <v>-16063.845144646464</v>
      </c>
      <c r="AC113" s="174"/>
    </row>
    <row r="114" spans="1:29" x14ac:dyDescent="0.2">
      <c r="A114" s="183" t="str">
        <f>Economics!A36</f>
        <v>Newman 3</v>
      </c>
      <c r="B114" s="181">
        <f t="shared" ref="B114:Y114" si="36">B43</f>
        <v>36</v>
      </c>
      <c r="C114" s="181">
        <f t="shared" si="36"/>
        <v>59</v>
      </c>
      <c r="D114" s="181">
        <f t="shared" si="36"/>
        <v>67</v>
      </c>
      <c r="E114" s="181">
        <f>E43</f>
        <v>51</v>
      </c>
      <c r="F114" s="181">
        <f t="shared" si="36"/>
        <v>52</v>
      </c>
      <c r="G114" s="181">
        <f t="shared" si="36"/>
        <v>91</v>
      </c>
      <c r="H114" s="181">
        <f t="shared" si="36"/>
        <v>100</v>
      </c>
      <c r="I114" s="181">
        <f t="shared" si="36"/>
        <v>45</v>
      </c>
      <c r="J114" s="181">
        <f t="shared" si="36"/>
        <v>43</v>
      </c>
      <c r="K114" s="181">
        <f t="shared" si="36"/>
        <v>74</v>
      </c>
      <c r="L114" s="181">
        <f t="shared" si="36"/>
        <v>84</v>
      </c>
      <c r="M114" s="181">
        <f t="shared" si="36"/>
        <v>39</v>
      </c>
      <c r="N114" s="181">
        <f t="shared" si="36"/>
        <v>38</v>
      </c>
      <c r="O114" s="181">
        <f t="shared" si="36"/>
        <v>36</v>
      </c>
      <c r="P114" s="181">
        <f t="shared" si="36"/>
        <v>35</v>
      </c>
      <c r="Q114" s="181">
        <f t="shared" si="36"/>
        <v>42</v>
      </c>
      <c r="R114" s="181">
        <f t="shared" si="36"/>
        <v>35</v>
      </c>
      <c r="S114" s="181">
        <f t="shared" si="36"/>
        <v>92</v>
      </c>
      <c r="T114" s="181">
        <f t="shared" si="36"/>
        <v>73</v>
      </c>
      <c r="U114" s="181">
        <f t="shared" si="36"/>
        <v>60</v>
      </c>
      <c r="V114" s="181">
        <f t="shared" si="36"/>
        <v>35</v>
      </c>
      <c r="W114" s="181">
        <f t="shared" si="36"/>
        <v>55</v>
      </c>
      <c r="X114" s="181">
        <f t="shared" si="36"/>
        <v>59</v>
      </c>
      <c r="Y114" s="181">
        <f t="shared" si="36"/>
        <v>100</v>
      </c>
      <c r="Z114" s="219">
        <f>SUM(B114:Y114)</f>
        <v>1401</v>
      </c>
      <c r="AA114" s="318" t="s">
        <v>172</v>
      </c>
    </row>
    <row r="115" spans="1:29" x14ac:dyDescent="0.2">
      <c r="A115" s="185">
        <f>Economics!$I36</f>
        <v>1.96</v>
      </c>
      <c r="B115" s="189">
        <f t="shared" ref="B115:Y115" ca="1" si="37">IndGencost(B114,OFFSET(HeatRateStart,1,MATCH($A114,HeatRateNames,0)-1,250,1),$A115)</f>
        <v>21.647002643532225</v>
      </c>
      <c r="C115" s="189">
        <f t="shared" ca="1" si="37"/>
        <v>20.096411916554988</v>
      </c>
      <c r="D115" s="189">
        <f t="shared" ca="1" si="37"/>
        <v>19.900933521655066</v>
      </c>
      <c r="E115" s="189">
        <f ca="1">IndGencost(E114,OFFSET(HeatRateStart,1,MATCH($A114,HeatRateNames,0)-1,250,1),$A115)</f>
        <v>20.417166671883827</v>
      </c>
      <c r="F115" s="189">
        <f t="shared" ca="1" si="37"/>
        <v>20.368245011806493</v>
      </c>
      <c r="G115" s="189">
        <f t="shared" ca="1" si="37"/>
        <v>19.735757307188852</v>
      </c>
      <c r="H115" s="189">
        <f t="shared" ca="1" si="37"/>
        <v>19.769932384777071</v>
      </c>
      <c r="I115" s="189">
        <f t="shared" ca="1" si="37"/>
        <v>20.780138182216223</v>
      </c>
      <c r="J115" s="189">
        <f t="shared" ca="1" si="37"/>
        <v>20.933119477183322</v>
      </c>
      <c r="K115" s="189">
        <f t="shared" ca="1" si="37"/>
        <v>19.800714979970774</v>
      </c>
      <c r="L115" s="189">
        <f t="shared" ca="1" si="37"/>
        <v>19.738087050823935</v>
      </c>
      <c r="M115" s="189">
        <f t="shared" ca="1" si="37"/>
        <v>21.301833235104883</v>
      </c>
      <c r="N115" s="189">
        <f t="shared" ca="1" si="37"/>
        <v>21.409493048266363</v>
      </c>
      <c r="O115" s="189">
        <f t="shared" ca="1" si="37"/>
        <v>21.647002643532225</v>
      </c>
      <c r="P115" s="189">
        <f t="shared" ca="1" si="37"/>
        <v>21.778120423861914</v>
      </c>
      <c r="Q115" s="189">
        <f t="shared" ca="1" si="37"/>
        <v>21.01689374237969</v>
      </c>
      <c r="R115" s="189">
        <f t="shared" ca="1" si="37"/>
        <v>21.778120423861914</v>
      </c>
      <c r="S115" s="189">
        <f t="shared" ca="1" si="37"/>
        <v>19.737669079801311</v>
      </c>
      <c r="T115" s="189">
        <f t="shared" ca="1" si="37"/>
        <v>19.811760933536377</v>
      </c>
      <c r="U115" s="189">
        <f t="shared" ca="1" si="37"/>
        <v>20.066153723875679</v>
      </c>
      <c r="V115" s="189">
        <f t="shared" ca="1" si="37"/>
        <v>21.778120423861914</v>
      </c>
      <c r="W115" s="189">
        <f t="shared" ca="1" si="37"/>
        <v>20.237713121154094</v>
      </c>
      <c r="X115" s="189">
        <f t="shared" ca="1" si="37"/>
        <v>20.096411916554988</v>
      </c>
      <c r="Y115" s="189">
        <f t="shared" ca="1" si="37"/>
        <v>19.769932384777071</v>
      </c>
      <c r="Z115" s="259">
        <f t="array" aca="1" ref="Z115" ca="1">SUM(B114:Y114*B115:Y115)</f>
        <v>28465.082514008525</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-21.647002643532225</v>
      </c>
      <c r="C118" s="188">
        <f t="shared" ca="1" si="39"/>
        <v>-20.096411916554988</v>
      </c>
      <c r="D118" s="188">
        <f t="shared" ca="1" si="39"/>
        <v>-19.900933521655066</v>
      </c>
      <c r="E118" s="188">
        <f t="shared" ca="1" si="39"/>
        <v>-20.417166671883827</v>
      </c>
      <c r="F118" s="188">
        <f t="shared" ca="1" si="39"/>
        <v>-20.368245011806493</v>
      </c>
      <c r="G118" s="188">
        <f t="shared" ca="1" si="39"/>
        <v>-19.735757307188852</v>
      </c>
      <c r="H118" s="188">
        <f t="shared" ca="1" si="39"/>
        <v>-19.769932384777071</v>
      </c>
      <c r="I118" s="188">
        <f t="shared" ca="1" si="39"/>
        <v>-20.780138182216223</v>
      </c>
      <c r="J118" s="188">
        <f t="shared" ca="1" si="39"/>
        <v>-20.933119477183322</v>
      </c>
      <c r="K118" s="188">
        <f t="shared" ca="1" si="39"/>
        <v>-19.800714979970774</v>
      </c>
      <c r="L118" s="188">
        <f t="shared" ca="1" si="39"/>
        <v>-19.738087050823935</v>
      </c>
      <c r="M118" s="188">
        <f t="shared" ca="1" si="39"/>
        <v>-21.301833235104883</v>
      </c>
      <c r="N118" s="188">
        <f t="shared" ca="1" si="39"/>
        <v>-21.409493048266363</v>
      </c>
      <c r="O118" s="188">
        <f t="shared" ca="1" si="39"/>
        <v>-21.647002643532225</v>
      </c>
      <c r="P118" s="188">
        <f t="shared" ca="1" si="39"/>
        <v>-21.778120423861914</v>
      </c>
      <c r="Q118" s="188">
        <f t="shared" ca="1" si="39"/>
        <v>-21.01689374237969</v>
      </c>
      <c r="R118" s="188">
        <f t="shared" ca="1" si="39"/>
        <v>-21.778120423861914</v>
      </c>
      <c r="S118" s="188">
        <f t="shared" ca="1" si="39"/>
        <v>-19.737669079801311</v>
      </c>
      <c r="T118" s="188">
        <f t="shared" ca="1" si="39"/>
        <v>-19.811760933536377</v>
      </c>
      <c r="U118" s="188">
        <f t="shared" ca="1" si="39"/>
        <v>-20.066153723875679</v>
      </c>
      <c r="V118" s="188">
        <f t="shared" ca="1" si="39"/>
        <v>-21.778120423861914</v>
      </c>
      <c r="W118" s="188">
        <f t="shared" ca="1" si="39"/>
        <v>-20.237713121154094</v>
      </c>
      <c r="X118" s="188">
        <f t="shared" ca="1" si="39"/>
        <v>-20.096411916554988</v>
      </c>
      <c r="Y118" s="188">
        <f t="shared" ca="1" si="39"/>
        <v>-19.769932384777071</v>
      </c>
      <c r="Z118" s="260">
        <f ca="1">Z115-Z117</f>
        <v>28465.082514008525</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29</v>
      </c>
      <c r="K154" s="181">
        <f t="shared" si="72"/>
        <v>29</v>
      </c>
      <c r="L154" s="181">
        <f t="shared" si="72"/>
        <v>28</v>
      </c>
      <c r="M154" s="181">
        <f t="shared" si="72"/>
        <v>29</v>
      </c>
      <c r="N154" s="181">
        <f t="shared" si="72"/>
        <v>28</v>
      </c>
      <c r="O154" s="181">
        <f t="shared" si="72"/>
        <v>28</v>
      </c>
      <c r="P154" s="181">
        <f t="shared" si="72"/>
        <v>28</v>
      </c>
      <c r="Q154" s="181">
        <f t="shared" si="72"/>
        <v>28</v>
      </c>
      <c r="R154" s="181">
        <f t="shared" si="72"/>
        <v>28</v>
      </c>
      <c r="S154" s="181">
        <f t="shared" si="72"/>
        <v>28</v>
      </c>
      <c r="T154" s="181">
        <f t="shared" si="72"/>
        <v>28</v>
      </c>
      <c r="U154" s="181">
        <f t="shared" si="72"/>
        <v>28</v>
      </c>
      <c r="V154" s="181">
        <f t="shared" si="72"/>
        <v>28</v>
      </c>
      <c r="W154" s="181">
        <f t="shared" si="72"/>
        <v>28</v>
      </c>
      <c r="X154" s="181">
        <f t="shared" si="72"/>
        <v>29</v>
      </c>
      <c r="Y154" s="181">
        <f t="shared" si="72"/>
        <v>28</v>
      </c>
      <c r="Z154" s="219">
        <f>SUM(B154:Y154)</f>
        <v>684</v>
      </c>
      <c r="AA154" s="318" t="s">
        <v>178</v>
      </c>
    </row>
    <row r="155" spans="1:27" x14ac:dyDescent="0.2">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22.338638763301702</v>
      </c>
      <c r="F155" s="189">
        <f t="shared" ca="1" si="73"/>
        <v>22.338638763301702</v>
      </c>
      <c r="G155" s="189">
        <f t="shared" ca="1" si="73"/>
        <v>22.338638763301702</v>
      </c>
      <c r="H155" s="189">
        <f t="shared" ca="1" si="73"/>
        <v>22.338638763301702</v>
      </c>
      <c r="I155" s="189">
        <f t="shared" ca="1" si="73"/>
        <v>22.338638763301702</v>
      </c>
      <c r="J155" s="189">
        <f t="shared" ca="1" si="73"/>
        <v>22.338638763301702</v>
      </c>
      <c r="K155" s="189">
        <f t="shared" ca="1" si="73"/>
        <v>22.338638763301702</v>
      </c>
      <c r="L155" s="189">
        <f t="shared" ca="1" si="73"/>
        <v>22.405878714136396</v>
      </c>
      <c r="M155" s="189">
        <f t="shared" ca="1" si="73"/>
        <v>22.338638763301702</v>
      </c>
      <c r="N155" s="189">
        <f t="shared" ca="1" si="73"/>
        <v>22.405878714136396</v>
      </c>
      <c r="O155" s="189">
        <f t="shared" ca="1" si="73"/>
        <v>22.405878714136396</v>
      </c>
      <c r="P155" s="189">
        <f t="shared" ca="1" si="73"/>
        <v>22.405878714136396</v>
      </c>
      <c r="Q155" s="189">
        <f t="shared" ca="1" si="73"/>
        <v>22.405878714136396</v>
      </c>
      <c r="R155" s="189">
        <f t="shared" ca="1" si="73"/>
        <v>22.405878714136396</v>
      </c>
      <c r="S155" s="189">
        <f t="shared" ca="1" si="73"/>
        <v>22.405878714136396</v>
      </c>
      <c r="T155" s="189">
        <f t="shared" ca="1" si="73"/>
        <v>22.405878714136396</v>
      </c>
      <c r="U155" s="189">
        <f t="shared" ca="1" si="73"/>
        <v>22.405878714136396</v>
      </c>
      <c r="V155" s="189">
        <f t="shared" ca="1" si="73"/>
        <v>22.405878714136396</v>
      </c>
      <c r="W155" s="189">
        <f t="shared" ca="1" si="73"/>
        <v>22.405878714136396</v>
      </c>
      <c r="X155" s="189">
        <f t="shared" ca="1" si="73"/>
        <v>22.338638763301702</v>
      </c>
      <c r="Y155" s="189">
        <f t="shared" ca="1" si="73"/>
        <v>22.405878714136396</v>
      </c>
      <c r="Z155" s="259">
        <f t="array" aca="1" ref="Z155" ca="1">SUM(B154:Y154*B155:Y155)</f>
        <v>15302.221537578815</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-22.338638763301702</v>
      </c>
      <c r="C158" s="188">
        <f t="shared" ca="1" si="75"/>
        <v>-22.338638763301702</v>
      </c>
      <c r="D158" s="188">
        <f t="shared" ca="1" si="75"/>
        <v>-22.338638763301702</v>
      </c>
      <c r="E158" s="188">
        <f t="shared" ca="1" si="75"/>
        <v>-22.338638763301702</v>
      </c>
      <c r="F158" s="188">
        <f t="shared" ca="1" si="75"/>
        <v>-22.338638763301702</v>
      </c>
      <c r="G158" s="188">
        <f t="shared" ca="1" si="75"/>
        <v>-22.338638763301702</v>
      </c>
      <c r="H158" s="188">
        <f t="shared" ca="1" si="75"/>
        <v>-22.338638763301702</v>
      </c>
      <c r="I158" s="188">
        <f t="shared" ca="1" si="75"/>
        <v>-22.338638763301702</v>
      </c>
      <c r="J158" s="188">
        <f t="shared" ca="1" si="75"/>
        <v>-22.338638763301702</v>
      </c>
      <c r="K158" s="188">
        <f t="shared" ca="1" si="75"/>
        <v>-22.338638763301702</v>
      </c>
      <c r="L158" s="188">
        <f t="shared" ca="1" si="75"/>
        <v>-22.405878714136396</v>
      </c>
      <c r="M158" s="188">
        <f t="shared" ca="1" si="75"/>
        <v>-22.338638763301702</v>
      </c>
      <c r="N158" s="188">
        <f t="shared" ca="1" si="75"/>
        <v>-22.405878714136396</v>
      </c>
      <c r="O158" s="188">
        <f t="shared" ca="1" si="75"/>
        <v>-22.405878714136396</v>
      </c>
      <c r="P158" s="188">
        <f t="shared" ca="1" si="75"/>
        <v>-22.405878714136396</v>
      </c>
      <c r="Q158" s="188">
        <f t="shared" ca="1" si="75"/>
        <v>-22.405878714136396</v>
      </c>
      <c r="R158" s="188">
        <f t="shared" ca="1" si="75"/>
        <v>-22.405878714136396</v>
      </c>
      <c r="S158" s="188">
        <f t="shared" ca="1" si="75"/>
        <v>-22.405878714136396</v>
      </c>
      <c r="T158" s="188">
        <f t="shared" ca="1" si="75"/>
        <v>-22.405878714136396</v>
      </c>
      <c r="U158" s="188">
        <f t="shared" ca="1" si="75"/>
        <v>-22.405878714136396</v>
      </c>
      <c r="V158" s="188">
        <f t="shared" ca="1" si="75"/>
        <v>-22.405878714136396</v>
      </c>
      <c r="W158" s="188">
        <f t="shared" ca="1" si="75"/>
        <v>-22.405878714136396</v>
      </c>
      <c r="X158" s="188">
        <f t="shared" ca="1" si="75"/>
        <v>-22.338638763301702</v>
      </c>
      <c r="Y158" s="188">
        <f t="shared" ca="1" si="75"/>
        <v>-22.405878714136396</v>
      </c>
      <c r="Z158" s="260">
        <f ca="1">Z155-Z157</f>
        <v>15302.221537578815</v>
      </c>
    </row>
    <row r="159" spans="1:27" x14ac:dyDescent="0.2">
      <c r="A159" s="183" t="str">
        <f>Economics!A45</f>
        <v>Rio Grande 8</v>
      </c>
      <c r="B159" s="181">
        <f t="shared" ref="B159:Y159" si="76">B52</f>
        <v>58</v>
      </c>
      <c r="C159" s="181">
        <f t="shared" si="76"/>
        <v>58</v>
      </c>
      <c r="D159" s="181">
        <f t="shared" si="76"/>
        <v>58</v>
      </c>
      <c r="E159" s="181">
        <f>E52</f>
        <v>58</v>
      </c>
      <c r="F159" s="181">
        <f t="shared" si="76"/>
        <v>58</v>
      </c>
      <c r="G159" s="181">
        <f t="shared" si="76"/>
        <v>59</v>
      </c>
      <c r="H159" s="181">
        <f t="shared" si="76"/>
        <v>60</v>
      </c>
      <c r="I159" s="181">
        <f t="shared" si="76"/>
        <v>58</v>
      </c>
      <c r="J159" s="181">
        <f t="shared" si="76"/>
        <v>58</v>
      </c>
      <c r="K159" s="181">
        <f t="shared" si="76"/>
        <v>59</v>
      </c>
      <c r="L159" s="181">
        <f t="shared" si="76"/>
        <v>58</v>
      </c>
      <c r="M159" s="181">
        <f t="shared" si="76"/>
        <v>58</v>
      </c>
      <c r="N159" s="181">
        <f t="shared" si="76"/>
        <v>58</v>
      </c>
      <c r="O159" s="181">
        <f t="shared" si="76"/>
        <v>58</v>
      </c>
      <c r="P159" s="181">
        <f t="shared" si="76"/>
        <v>59</v>
      </c>
      <c r="Q159" s="181">
        <f t="shared" si="76"/>
        <v>58</v>
      </c>
      <c r="R159" s="181">
        <f t="shared" si="76"/>
        <v>58</v>
      </c>
      <c r="S159" s="181">
        <f t="shared" si="76"/>
        <v>68</v>
      </c>
      <c r="T159" s="181">
        <f t="shared" si="76"/>
        <v>94</v>
      </c>
      <c r="U159" s="181">
        <f t="shared" si="76"/>
        <v>94</v>
      </c>
      <c r="V159" s="181">
        <f t="shared" si="76"/>
        <v>87</v>
      </c>
      <c r="W159" s="181">
        <f t="shared" si="76"/>
        <v>54</v>
      </c>
      <c r="X159" s="181">
        <f t="shared" si="76"/>
        <v>54</v>
      </c>
      <c r="Y159" s="181">
        <f t="shared" si="76"/>
        <v>78</v>
      </c>
      <c r="Z159" s="219">
        <f>SUM(B159:Y159)</f>
        <v>1520</v>
      </c>
      <c r="AA159" s="318" t="s">
        <v>178</v>
      </c>
    </row>
    <row r="160" spans="1:27" x14ac:dyDescent="0.2">
      <c r="A160" s="185">
        <f>Economics!$I45</f>
        <v>2.09</v>
      </c>
      <c r="B160" s="189">
        <f t="shared" ref="B160:Y160" ca="1" si="77">IndGencost(B159,OFFSET(HeatRateStart,1,MATCH($A159,HeatRateNames,0)-1,250,1),$A160)</f>
        <v>21.460983946241182</v>
      </c>
      <c r="C160" s="189">
        <f t="shared" ca="1" si="77"/>
        <v>21.460983946241182</v>
      </c>
      <c r="D160" s="189">
        <f t="shared" ca="1" si="77"/>
        <v>21.460983946241182</v>
      </c>
      <c r="E160" s="189">
        <f ca="1">IndGencost(E159,OFFSET(HeatRateStart,1,MATCH($A159,HeatRateNames,0)-1,250,1),$A160)</f>
        <v>21.460983946241182</v>
      </c>
      <c r="F160" s="189">
        <f t="shared" ca="1" si="77"/>
        <v>21.460983946241182</v>
      </c>
      <c r="G160" s="189">
        <f t="shared" ca="1" si="77"/>
        <v>21.433994119763373</v>
      </c>
      <c r="H160" s="189">
        <f t="shared" ca="1" si="77"/>
        <v>21.408914120793344</v>
      </c>
      <c r="I160" s="189">
        <f t="shared" ca="1" si="77"/>
        <v>21.460983946241182</v>
      </c>
      <c r="J160" s="189">
        <f t="shared" ca="1" si="77"/>
        <v>21.460983946241182</v>
      </c>
      <c r="K160" s="189">
        <f t="shared" ca="1" si="77"/>
        <v>21.433994119763373</v>
      </c>
      <c r="L160" s="189">
        <f t="shared" ca="1" si="77"/>
        <v>21.460983946241182</v>
      </c>
      <c r="M160" s="189">
        <f t="shared" ca="1" si="77"/>
        <v>21.460983946241182</v>
      </c>
      <c r="N160" s="189">
        <f t="shared" ca="1" si="77"/>
        <v>21.460983946241182</v>
      </c>
      <c r="O160" s="189">
        <f t="shared" ca="1" si="77"/>
        <v>21.460983946241182</v>
      </c>
      <c r="P160" s="189">
        <f t="shared" ca="1" si="77"/>
        <v>21.433994119763373</v>
      </c>
      <c r="Q160" s="189">
        <f t="shared" ca="1" si="77"/>
        <v>21.460983946241182</v>
      </c>
      <c r="R160" s="189">
        <f t="shared" ca="1" si="77"/>
        <v>21.460983946241182</v>
      </c>
      <c r="S160" s="189">
        <f t="shared" ca="1" si="77"/>
        <v>21.266917067801248</v>
      </c>
      <c r="T160" s="189">
        <f t="shared" ca="1" si="77"/>
        <v>21.257344658932791</v>
      </c>
      <c r="U160" s="189">
        <f t="shared" ca="1" si="77"/>
        <v>21.257344658932791</v>
      </c>
      <c r="V160" s="189">
        <f t="shared" ca="1" si="77"/>
        <v>21.213030680561889</v>
      </c>
      <c r="W160" s="189">
        <f t="shared" ca="1" si="77"/>
        <v>21.590163557794359</v>
      </c>
      <c r="X160" s="189">
        <f t="shared" ca="1" si="77"/>
        <v>21.590163557794359</v>
      </c>
      <c r="Y160" s="189">
        <f t="shared" ca="1" si="77"/>
        <v>21.200316052436825</v>
      </c>
      <c r="Z160" s="259">
        <f t="array" aca="1" ref="Z160" ca="1">SUM(B159:Y159*B160:Y160)</f>
        <v>32533.360843942162</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6.011838423060567E-2</v>
      </c>
      <c r="C163" s="188">
        <f t="shared" ca="1" si="79"/>
        <v>6.011838423060567E-2</v>
      </c>
      <c r="D163" s="188">
        <f t="shared" ca="1" si="79"/>
        <v>6.011838423060567E-2</v>
      </c>
      <c r="E163" s="188">
        <f t="shared" ca="1" si="79"/>
        <v>6.011838423060567E-2</v>
      </c>
      <c r="F163" s="188">
        <f t="shared" ca="1" si="79"/>
        <v>-0.15190751365546262</v>
      </c>
      <c r="G163" s="188">
        <f t="shared" ca="1" si="79"/>
        <v>-0.22404799079895099</v>
      </c>
      <c r="H163" s="188">
        <f t="shared" ca="1" si="79"/>
        <v>0.11218820967844323</v>
      </c>
      <c r="I163" s="188">
        <f t="shared" ca="1" si="79"/>
        <v>6.011838423060567E-2</v>
      </c>
      <c r="J163" s="188">
        <f t="shared" ca="1" si="79"/>
        <v>6.011838423060567E-2</v>
      </c>
      <c r="K163" s="188">
        <f t="shared" ca="1" si="79"/>
        <v>8.7108210708414902E-2</v>
      </c>
      <c r="L163" s="188">
        <f t="shared" ca="1" si="79"/>
        <v>6.011838423060567E-2</v>
      </c>
      <c r="M163" s="188">
        <f t="shared" ca="1" si="79"/>
        <v>6.011838423060567E-2</v>
      </c>
      <c r="N163" s="188">
        <f t="shared" ca="1" si="79"/>
        <v>6.011838423060567E-2</v>
      </c>
      <c r="O163" s="188">
        <f t="shared" ca="1" si="79"/>
        <v>6.011838423060567E-2</v>
      </c>
      <c r="P163" s="188">
        <f t="shared" ca="1" si="79"/>
        <v>8.7108210708414902E-2</v>
      </c>
      <c r="Q163" s="188">
        <f t="shared" ca="1" si="79"/>
        <v>6.011838423060567E-2</v>
      </c>
      <c r="R163" s="188">
        <f t="shared" ca="1" si="79"/>
        <v>6.011838423060567E-2</v>
      </c>
      <c r="S163" s="188">
        <f t="shared" ca="1" si="79"/>
        <v>0.2541852626705392</v>
      </c>
      <c r="T163" s="188">
        <f t="shared" ca="1" si="79"/>
        <v>-5.1898176842399835E-2</v>
      </c>
      <c r="U163" s="188">
        <f t="shared" ca="1" si="79"/>
        <v>0.18149446063160823</v>
      </c>
      <c r="V163" s="188">
        <f t="shared" ca="1" si="79"/>
        <v>1.5795114293865709E-2</v>
      </c>
      <c r="W163" s="188">
        <f t="shared" ca="1" si="79"/>
        <v>-0.28108712520863932</v>
      </c>
      <c r="X163" s="188">
        <f t="shared" ca="1" si="79"/>
        <v>-6.9061227322571028E-2</v>
      </c>
      <c r="Y163" s="188">
        <f t="shared" ca="1" si="79"/>
        <v>0.32078627803496218</v>
      </c>
      <c r="Z163" s="260">
        <f ca="1">Z160-Z162</f>
        <v>407.8342232513387</v>
      </c>
      <c r="AA163" s="262"/>
    </row>
    <row r="164" spans="1:27" s="269" customFormat="1" x14ac:dyDescent="0.2">
      <c r="A164" s="302" t="s">
        <v>182</v>
      </c>
      <c r="B164" s="303">
        <f t="shared" ref="B164:Y164" si="80">B159+B154+B149+B144+B139+B134+B129+B124+B119+B114+B109+B104+B101+B98+B95+B92+B89</f>
        <v>754</v>
      </c>
      <c r="C164" s="303">
        <f t="shared" si="80"/>
        <v>778</v>
      </c>
      <c r="D164" s="303">
        <f t="shared" si="80"/>
        <v>783</v>
      </c>
      <c r="E164" s="303">
        <f t="shared" si="80"/>
        <v>772</v>
      </c>
      <c r="F164" s="303">
        <f t="shared" si="80"/>
        <v>768</v>
      </c>
      <c r="G164" s="303">
        <f t="shared" si="80"/>
        <v>808</v>
      </c>
      <c r="H164" s="303">
        <f t="shared" si="80"/>
        <v>821</v>
      </c>
      <c r="I164" s="303">
        <f t="shared" si="80"/>
        <v>766</v>
      </c>
      <c r="J164" s="303">
        <f t="shared" si="80"/>
        <v>759</v>
      </c>
      <c r="K164" s="303">
        <f t="shared" si="80"/>
        <v>793</v>
      </c>
      <c r="L164" s="303">
        <f t="shared" si="80"/>
        <v>810</v>
      </c>
      <c r="M164" s="303" t="e">
        <f t="shared" si="80"/>
        <v>#REF!</v>
      </c>
      <c r="N164" s="303">
        <f t="shared" si="80"/>
        <v>825</v>
      </c>
      <c r="O164" s="303">
        <f t="shared" si="80"/>
        <v>834</v>
      </c>
      <c r="P164" s="303">
        <f t="shared" si="80"/>
        <v>824</v>
      </c>
      <c r="Q164" s="303">
        <f t="shared" si="80"/>
        <v>809</v>
      </c>
      <c r="R164" s="303">
        <f t="shared" si="80"/>
        <v>790</v>
      </c>
      <c r="S164" s="303">
        <f t="shared" si="80"/>
        <v>857</v>
      </c>
      <c r="T164" s="303">
        <f t="shared" si="80"/>
        <v>864</v>
      </c>
      <c r="U164" s="303">
        <f t="shared" si="80"/>
        <v>854</v>
      </c>
      <c r="V164" s="303">
        <f t="shared" si="80"/>
        <v>822</v>
      </c>
      <c r="W164" s="303">
        <f t="shared" si="80"/>
        <v>786</v>
      </c>
      <c r="X164" s="303">
        <f t="shared" si="80"/>
        <v>776</v>
      </c>
      <c r="Y164" s="304">
        <f t="shared" si="80"/>
        <v>843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
      <c r="A166" s="330" t="s">
        <v>184</v>
      </c>
      <c r="B166" s="331">
        <f t="shared" ref="B166:Y166" si="82">B165-B164</f>
        <v>225</v>
      </c>
      <c r="C166" s="331">
        <f t="shared" si="82"/>
        <v>100</v>
      </c>
      <c r="D166" s="331">
        <f t="shared" si="82"/>
        <v>65</v>
      </c>
      <c r="E166" s="331">
        <f t="shared" si="82"/>
        <v>76</v>
      </c>
      <c r="F166" s="331">
        <f t="shared" si="82"/>
        <v>90</v>
      </c>
      <c r="G166" s="331">
        <f t="shared" si="82"/>
        <v>60</v>
      </c>
      <c r="H166" s="331">
        <f t="shared" si="82"/>
        <v>73</v>
      </c>
      <c r="I166" s="331">
        <f t="shared" si="82"/>
        <v>113</v>
      </c>
      <c r="J166" s="331">
        <f t="shared" si="82"/>
        <v>120</v>
      </c>
      <c r="K166" s="331">
        <f t="shared" si="82"/>
        <v>86</v>
      </c>
      <c r="L166" s="331">
        <f t="shared" si="82"/>
        <v>120</v>
      </c>
      <c r="M166" s="331" t="e">
        <f t="shared" si="82"/>
        <v>#REF!</v>
      </c>
      <c r="N166" s="331">
        <f t="shared" si="82"/>
        <v>105</v>
      </c>
      <c r="O166" s="331">
        <f t="shared" si="82"/>
        <v>96</v>
      </c>
      <c r="P166" s="331">
        <f t="shared" si="82"/>
        <v>106</v>
      </c>
      <c r="Q166" s="331">
        <f t="shared" si="82"/>
        <v>121</v>
      </c>
      <c r="R166" s="331">
        <f t="shared" si="82"/>
        <v>140</v>
      </c>
      <c r="S166" s="331">
        <f t="shared" si="82"/>
        <v>73</v>
      </c>
      <c r="T166" s="331">
        <f t="shared" si="82"/>
        <v>165</v>
      </c>
      <c r="U166" s="331">
        <f t="shared" si="82"/>
        <v>200</v>
      </c>
      <c r="V166" s="331">
        <f t="shared" si="82"/>
        <v>146</v>
      </c>
      <c r="W166" s="331">
        <f t="shared" si="82"/>
        <v>152</v>
      </c>
      <c r="X166" s="331">
        <f t="shared" si="82"/>
        <v>133</v>
      </c>
      <c r="Y166" s="332">
        <f t="shared" si="82"/>
        <v>66</v>
      </c>
      <c r="Z166" s="336" t="e">
        <f>SUM(B166:Y166)</f>
        <v>#REF!</v>
      </c>
    </row>
    <row r="167" spans="1:27" s="325" customFormat="1" ht="32.25" customHeight="1" thickBot="1" x14ac:dyDescent="0.25">
      <c r="A167" s="333" t="s">
        <v>185</v>
      </c>
      <c r="B167" s="334">
        <f t="shared" ref="B167:Y167" ca="1" si="83">B58</f>
        <v>-32</v>
      </c>
      <c r="C167" s="334">
        <f t="shared" ca="1" si="83"/>
        <v>-16</v>
      </c>
      <c r="D167" s="334">
        <f t="shared" ca="1" si="83"/>
        <v>7</v>
      </c>
      <c r="E167" s="334">
        <f ca="1">E58</f>
        <v>-3</v>
      </c>
      <c r="F167" s="334">
        <f t="shared" ca="1" si="83"/>
        <v>-9</v>
      </c>
      <c r="G167" s="334">
        <f t="shared" ca="1" si="83"/>
        <v>-5</v>
      </c>
      <c r="H167" s="334">
        <f t="shared" ca="1" si="83"/>
        <v>2</v>
      </c>
      <c r="I167" s="334">
        <f t="shared" ca="1" si="83"/>
        <v>-14</v>
      </c>
      <c r="J167" s="334">
        <f t="shared" ca="1" si="83"/>
        <v>0</v>
      </c>
      <c r="K167" s="334">
        <f t="shared" ca="1" si="83"/>
        <v>-6</v>
      </c>
      <c r="L167" s="334">
        <f t="shared" ca="1" si="83"/>
        <v>-1</v>
      </c>
      <c r="M167" s="334">
        <f t="shared" ca="1" si="83"/>
        <v>2</v>
      </c>
      <c r="N167" s="334">
        <f t="shared" ca="1" si="83"/>
        <v>-9</v>
      </c>
      <c r="O167" s="334">
        <f t="shared" ca="1" si="83"/>
        <v>11</v>
      </c>
      <c r="P167" s="334">
        <f t="shared" ca="1" si="83"/>
        <v>3</v>
      </c>
      <c r="Q167" s="334">
        <f t="shared" ca="1" si="83"/>
        <v>9</v>
      </c>
      <c r="R167" s="334">
        <f t="shared" ca="1" si="83"/>
        <v>-5</v>
      </c>
      <c r="S167" s="334">
        <f t="shared" ca="1" si="83"/>
        <v>3</v>
      </c>
      <c r="T167" s="334">
        <f t="shared" ca="1" si="83"/>
        <v>-10</v>
      </c>
      <c r="U167" s="334">
        <f t="shared" ca="1" si="83"/>
        <v>-8</v>
      </c>
      <c r="V167" s="334">
        <f t="shared" ca="1" si="83"/>
        <v>-4</v>
      </c>
      <c r="W167" s="334">
        <f t="shared" ca="1" si="83"/>
        <v>-6</v>
      </c>
      <c r="X167" s="334">
        <f t="shared" ca="1" si="83"/>
        <v>-5</v>
      </c>
      <c r="Y167" s="335">
        <f t="shared" ca="1" si="83"/>
        <v>21</v>
      </c>
      <c r="Z167" s="323">
        <f ca="1">SUM(B167:Y167)</f>
        <v>-75</v>
      </c>
      <c r="AA167" s="324"/>
    </row>
    <row r="168" spans="1:27" ht="13.5" hidden="1" thickBot="1" x14ac:dyDescent="0.25">
      <c r="A168" s="326" t="s">
        <v>186</v>
      </c>
      <c r="B168" s="327">
        <f t="shared" ref="B168:Y168" ca="1" si="84">B167+B166</f>
        <v>193</v>
      </c>
      <c r="C168" s="327">
        <f t="shared" ca="1" si="84"/>
        <v>84</v>
      </c>
      <c r="D168" s="327">
        <f t="shared" ca="1" si="84"/>
        <v>72</v>
      </c>
      <c r="E168" s="327">
        <f t="shared" ca="1" si="84"/>
        <v>73</v>
      </c>
      <c r="F168" s="327">
        <f t="shared" ca="1" si="84"/>
        <v>81</v>
      </c>
      <c r="G168" s="327">
        <f t="shared" ca="1" si="84"/>
        <v>55</v>
      </c>
      <c r="H168" s="327">
        <f t="shared" ca="1" si="84"/>
        <v>75</v>
      </c>
      <c r="I168" s="327">
        <f t="shared" ca="1" si="84"/>
        <v>99</v>
      </c>
      <c r="J168" s="327">
        <f t="shared" ca="1" si="84"/>
        <v>120</v>
      </c>
      <c r="K168" s="327">
        <f t="shared" ca="1" si="84"/>
        <v>80</v>
      </c>
      <c r="L168" s="327">
        <f t="shared" ca="1" si="84"/>
        <v>119</v>
      </c>
      <c r="M168" s="327" t="e">
        <f t="shared" ca="1" si="84"/>
        <v>#REF!</v>
      </c>
      <c r="N168" s="327">
        <f t="shared" ca="1" si="84"/>
        <v>96</v>
      </c>
      <c r="O168" s="327">
        <f t="shared" ca="1" si="84"/>
        <v>107</v>
      </c>
      <c r="P168" s="327">
        <f t="shared" ca="1" si="84"/>
        <v>109</v>
      </c>
      <c r="Q168" s="327">
        <f t="shared" ca="1" si="84"/>
        <v>130</v>
      </c>
      <c r="R168" s="327">
        <f t="shared" ca="1" si="84"/>
        <v>135</v>
      </c>
      <c r="S168" s="327">
        <f t="shared" ca="1" si="84"/>
        <v>76</v>
      </c>
      <c r="T168" s="327">
        <f t="shared" ca="1" si="84"/>
        <v>155</v>
      </c>
      <c r="U168" s="327">
        <f t="shared" ca="1" si="84"/>
        <v>192</v>
      </c>
      <c r="V168" s="327">
        <f t="shared" ca="1" si="84"/>
        <v>142</v>
      </c>
      <c r="W168" s="327">
        <f t="shared" ca="1" si="84"/>
        <v>146</v>
      </c>
      <c r="X168" s="327">
        <f t="shared" ca="1" si="84"/>
        <v>128</v>
      </c>
      <c r="Y168" s="327">
        <f t="shared" ca="1" si="84"/>
        <v>87</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216</v>
      </c>
      <c r="D171" s="338">
        <f t="shared" si="85"/>
        <v>211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222</v>
      </c>
      <c r="F171" s="338">
        <f t="shared" si="85"/>
        <v>226</v>
      </c>
      <c r="G171" s="338">
        <f t="shared" si="85"/>
        <v>187</v>
      </c>
      <c r="H171" s="338">
        <f t="shared" si="85"/>
        <v>175</v>
      </c>
      <c r="I171" s="338">
        <f t="shared" si="85"/>
        <v>228</v>
      </c>
      <c r="J171" s="338">
        <f t="shared" si="85"/>
        <v>235</v>
      </c>
      <c r="K171" s="338">
        <f t="shared" si="85"/>
        <v>202</v>
      </c>
      <c r="L171" s="338">
        <f t="shared" si="85"/>
        <v>184</v>
      </c>
      <c r="M171" s="338">
        <f t="shared" si="85"/>
        <v>138</v>
      </c>
      <c r="N171" s="338">
        <f t="shared" si="85"/>
        <v>169</v>
      </c>
      <c r="O171" s="338">
        <f t="shared" si="85"/>
        <v>159</v>
      </c>
      <c r="P171" s="338">
        <f t="shared" si="85"/>
        <v>169</v>
      </c>
      <c r="Q171" s="338">
        <f t="shared" si="85"/>
        <v>185</v>
      </c>
      <c r="R171" s="338">
        <f t="shared" si="85"/>
        <v>202</v>
      </c>
      <c r="S171" s="338">
        <f t="shared" si="85"/>
        <v>147</v>
      </c>
      <c r="T171" s="338">
        <f t="shared" si="85"/>
        <v>166</v>
      </c>
      <c r="U171" s="338">
        <f t="shared" si="85"/>
        <v>176</v>
      </c>
      <c r="V171" s="338">
        <f t="shared" si="85"/>
        <v>199</v>
      </c>
      <c r="W171" s="338">
        <f t="shared" si="85"/>
        <v>204</v>
      </c>
      <c r="X171" s="338">
        <f t="shared" si="85"/>
        <v>214</v>
      </c>
      <c r="Y171" s="339">
        <f t="shared" si="85"/>
        <v>171</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 ca="1">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94"/>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94"/>
    </row>
    <row r="200" spans="1:25" x14ac:dyDescent="0.2">
      <c r="A200" s="494"/>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15566.202526913876</v>
      </c>
      <c r="F12" s="33">
        <f>(D12*$C$6)+(C12*$C$7)</f>
        <v>2.09</v>
      </c>
      <c r="G12" s="32">
        <f ca="1">E12*F12</f>
        <v>32533.363281249996</v>
      </c>
      <c r="H12" s="33"/>
    </row>
    <row r="13" spans="1:8" x14ac:dyDescent="0.2">
      <c r="B13" s="234" t="s">
        <v>56</v>
      </c>
      <c r="C13" s="235">
        <v>1</v>
      </c>
      <c r="D13" s="235">
        <v>0</v>
      </c>
      <c r="E13" s="32">
        <f ca="1">-INDEX(Economics!$A$34:$D$45,MATCH(Fuel!B13,Economics!$A$34:$A$45,0),4)/Fuel!F13</f>
        <v>7321.635298295455</v>
      </c>
      <c r="F13" s="33">
        <f>(D13*$C$6)+(C13*$C$7)</f>
        <v>2.09</v>
      </c>
      <c r="G13" s="32">
        <f ca="1">E13*F13</f>
        <v>15302.2177734375</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22887.837825209332</v>
      </c>
      <c r="F15" s="35"/>
      <c r="G15" s="34">
        <f ca="1">SUM(G12:G14)</f>
        <v>47835.5810546875</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14522.999043367347</v>
      </c>
      <c r="F25" s="33">
        <f t="shared" si="1"/>
        <v>1.96</v>
      </c>
      <c r="G25" s="32">
        <f t="shared" ca="1" si="0"/>
        <v>28465.078125</v>
      </c>
      <c r="I25" s="31"/>
      <c r="J25" s="31"/>
      <c r="K25" s="31"/>
    </row>
    <row r="26" spans="1:12" x14ac:dyDescent="0.2">
      <c r="B26" s="234" t="s">
        <v>47</v>
      </c>
      <c r="C26" s="235">
        <v>1</v>
      </c>
      <c r="D26" s="235">
        <v>0</v>
      </c>
      <c r="E26" s="32">
        <f ca="1">-INDEX(Economics!$A$34:$D$45,MATCH(Fuel!B26,Economics!$A$34:$A$45,0),4)/Fuel!F26</f>
        <v>0</v>
      </c>
      <c r="F26" s="33">
        <f t="shared" si="1"/>
        <v>1.96</v>
      </c>
      <c r="G26" s="32">
        <f t="shared" ca="1" si="0"/>
        <v>0</v>
      </c>
      <c r="I26" s="31"/>
      <c r="J26" s="31"/>
      <c r="K26" s="31"/>
    </row>
    <row r="27" spans="1:12" x14ac:dyDescent="0.2">
      <c r="B27" s="246" t="s">
        <v>46</v>
      </c>
      <c r="C27" s="235">
        <v>1</v>
      </c>
      <c r="D27" s="235">
        <v>0</v>
      </c>
      <c r="E27" s="32">
        <f ca="1">-INDEX(Economics!$A$34:$D$45,MATCH(Fuel!B27,Economics!$A$34:$A$45,0),4)/Fuel!F27</f>
        <v>11188.240393813776</v>
      </c>
      <c r="F27" s="33">
        <f t="shared" si="1"/>
        <v>1.96</v>
      </c>
      <c r="G27" s="32">
        <f t="shared" ca="1" si="0"/>
        <v>21928.951171875</v>
      </c>
      <c r="I27" s="31"/>
      <c r="J27" s="31"/>
      <c r="K27" s="31"/>
    </row>
    <row r="28" spans="1:12" x14ac:dyDescent="0.2">
      <c r="B28" s="234" t="s">
        <v>49</v>
      </c>
      <c r="C28" s="235">
        <v>1</v>
      </c>
      <c r="D28" s="235">
        <v>0</v>
      </c>
      <c r="E28" s="32">
        <f ca="1">-INDEX(Economics!$A$34:$D$45,MATCH(Fuel!B28,Economics!$A$34:$A$45,0),4)/Fuel!F28</f>
        <v>0</v>
      </c>
      <c r="F28" s="33">
        <f t="shared" si="1"/>
        <v>1.96</v>
      </c>
      <c r="G28" s="32">
        <f t="shared" ca="1" si="0"/>
        <v>0</v>
      </c>
      <c r="I28" s="31"/>
      <c r="J28" s="31"/>
      <c r="K28" s="31"/>
    </row>
    <row r="29" spans="1:12" x14ac:dyDescent="0.2">
      <c r="B29" s="234" t="s">
        <v>50</v>
      </c>
      <c r="C29" s="235">
        <v>1</v>
      </c>
      <c r="D29" s="235">
        <v>0</v>
      </c>
      <c r="E29" s="32">
        <f ca="1">-INDEX(Economics!$A$34:$D$45,MATCH(Fuel!B29,Economics!$A$34:$A$45,0),4)/Fuel!F29</f>
        <v>0</v>
      </c>
      <c r="F29" s="33">
        <f t="shared" si="1"/>
        <v>1.96</v>
      </c>
      <c r="G29" s="32">
        <f t="shared" ca="1" si="0"/>
        <v>0</v>
      </c>
      <c r="I29" s="31"/>
      <c r="J29" s="31"/>
      <c r="K29" s="31"/>
    </row>
    <row r="30" spans="1:12" x14ac:dyDescent="0.2">
      <c r="B30" s="236"/>
      <c r="C30" s="36"/>
      <c r="D30" s="36"/>
      <c r="E30" s="34">
        <f ca="1">SUM(E22:E29)</f>
        <v>25711.239437181124</v>
      </c>
      <c r="F30" s="35"/>
      <c r="G30" s="34">
        <f ca="1">SUM(G22:G29)</f>
        <v>50394.029296875</v>
      </c>
      <c r="I30" s="31"/>
      <c r="J30" s="31"/>
      <c r="K30" s="31"/>
    </row>
    <row r="31" spans="1:12" x14ac:dyDescent="0.2">
      <c r="B31" s="236"/>
      <c r="I31" s="31"/>
      <c r="J31" s="31"/>
      <c r="K31" s="31"/>
    </row>
    <row r="32" spans="1:12" ht="13.5" thickBot="1" x14ac:dyDescent="0.25">
      <c r="B32" s="236" t="s">
        <v>18</v>
      </c>
      <c r="E32" s="7">
        <f ca="1">E15+E18+E30</f>
        <v>48599.077262390456</v>
      </c>
      <c r="F32" s="8"/>
      <c r="G32" s="7">
        <f ca="1">G15+G18+G30</f>
        <v>98229.6103515625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457076.7</v>
      </c>
      <c r="C3" s="117">
        <f ca="1">6.8*0.75*E3</f>
        <v>112613.09999999999</v>
      </c>
      <c r="D3" s="117">
        <f ca="1">C3+B3</f>
        <v>569689.80000000005</v>
      </c>
      <c r="E3" s="118">
        <f ca="1">SUM(Preschedule!B59:Y59)</f>
        <v>22081</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-50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456.25</v>
      </c>
      <c r="C17" s="121"/>
      <c r="D17" s="121">
        <f ca="1">C17+B17</f>
        <v>456.25</v>
      </c>
      <c r="E17" s="122">
        <f ca="1">SUM(Preschedule!B25:Y25)</f>
        <v>25</v>
      </c>
      <c r="F17" s="121">
        <f ca="1">IF(E17=0,0,B17/E17)</f>
        <v>18.25</v>
      </c>
      <c r="G17" s="123">
        <f ca="1">IF(E17=0,0,D17/E17)</f>
        <v>18.25</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1575</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-8328.6985600000007</v>
      </c>
      <c r="C28" s="120"/>
      <c r="D28" s="120">
        <f ca="1">C28+B28</f>
        <v>-8328.6985600000007</v>
      </c>
      <c r="E28" s="114">
        <f>SUM(Preschedule!B56:Y56)</f>
        <v>637</v>
      </c>
      <c r="F28" s="120">
        <f>H28*I28</f>
        <v>13.074880000000002</v>
      </c>
      <c r="G28" s="79">
        <f ca="1">-IF(E28=0,0,D28/E28)</f>
        <v>13.07488</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-28779.216</v>
      </c>
      <c r="C30" s="120"/>
      <c r="D30" s="120">
        <f>C30+B30</f>
        <v>-28779.216</v>
      </c>
      <c r="E30" s="114">
        <f>SUM(Preschedule!B53:Y53)</f>
        <v>4721</v>
      </c>
      <c r="F30" s="120">
        <f>H30*I30</f>
        <v>6.0960000000000001</v>
      </c>
      <c r="G30" s="79">
        <f>-IF(E30=0,0,D30/E30)</f>
        <v>6.0960000000000001</v>
      </c>
      <c r="H30" s="134">
        <v>10.16</v>
      </c>
      <c r="I30" s="135">
        <v>0.6</v>
      </c>
    </row>
    <row r="31" spans="1:9" x14ac:dyDescent="0.2">
      <c r="A31" s="83" t="s">
        <v>44</v>
      </c>
      <c r="B31" s="120">
        <f>-F31*E31</f>
        <v>-28779.216</v>
      </c>
      <c r="C31" s="120"/>
      <c r="D31" s="120">
        <f>C31+B31</f>
        <v>-28779.216</v>
      </c>
      <c r="E31" s="114">
        <f>SUM(Preschedule!B54:Y54)</f>
        <v>4721</v>
      </c>
      <c r="F31" s="120">
        <f>H31*I31</f>
        <v>6.0960000000000001</v>
      </c>
      <c r="G31" s="79">
        <f>-IF(E31=0,0,D31/E31)</f>
        <v>6.0960000000000001</v>
      </c>
      <c r="H31" s="134">
        <v>10.16</v>
      </c>
      <c r="I31" s="135">
        <v>0.6</v>
      </c>
    </row>
    <row r="32" spans="1:9" x14ac:dyDescent="0.2">
      <c r="A32" s="83" t="s">
        <v>45</v>
      </c>
      <c r="B32" s="120">
        <f>-F32*E32</f>
        <v>-28779.216</v>
      </c>
      <c r="C32" s="120"/>
      <c r="D32" s="120">
        <f>C32+B32</f>
        <v>-28779.216</v>
      </c>
      <c r="E32" s="114">
        <f>SUM(Preschedule!B55:Y55)</f>
        <v>4721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-21928.951171875</v>
      </c>
      <c r="C34" s="120"/>
      <c r="D34" s="120">
        <f ca="1">IF(ISTEXT(B34),0,C34+B34)</f>
        <v>-21928.951171875</v>
      </c>
      <c r="E34" s="114">
        <f>SUM(Preschedule!B41:Y41)</f>
        <v>954</v>
      </c>
      <c r="F34" s="120">
        <f ca="1">-IF(OR(ISTEXT(B34),E34=0),0,B34/E34)</f>
        <v>22.986321983097483</v>
      </c>
      <c r="G34" s="79">
        <f t="shared" ref="G34:G45" ca="1" si="6">-IF(E34=0,0,D34/E34)</f>
        <v>22.986321983097483</v>
      </c>
      <c r="H34" s="136"/>
      <c r="I34" s="135">
        <f>INDEX(FuelPriceTable,MATCH(A34,FuelNames,0),5)</f>
        <v>1.96</v>
      </c>
    </row>
    <row r="35" spans="1:9" x14ac:dyDescent="0.2">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f ca="1">Gencost(Preschedule!B43:Y43,OFFSET(HeatRateStart,1,MATCH(A36,HeatRateNames,0)-1,250,1),I36)</f>
        <v>-28465.078125</v>
      </c>
      <c r="C36" s="120"/>
      <c r="D36" s="120">
        <f t="shared" ca="1" si="7"/>
        <v>-28465.078125</v>
      </c>
      <c r="E36" s="114">
        <f>SUM(Preschedule!B43:Y43)</f>
        <v>1401</v>
      </c>
      <c r="F36" s="120">
        <f t="shared" ca="1" si="8"/>
        <v>20.317686027837258</v>
      </c>
      <c r="G36" s="79">
        <f t="shared" ca="1" si="6"/>
        <v>20.317686027837258</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-15302.2177734375</v>
      </c>
      <c r="C44" s="120"/>
      <c r="D44" s="120">
        <f t="shared" ca="1" si="7"/>
        <v>-15302.2177734375</v>
      </c>
      <c r="E44" s="114">
        <f>SUM(Preschedule!B51:Y51)</f>
        <v>684</v>
      </c>
      <c r="F44" s="120">
        <f t="shared" ca="1" si="8"/>
        <v>22.371663411458332</v>
      </c>
      <c r="G44" s="79">
        <f t="shared" ca="1" si="6"/>
        <v>22.371663411458332</v>
      </c>
      <c r="H44" s="136"/>
      <c r="I44" s="135">
        <f t="shared" si="9"/>
        <v>2.09</v>
      </c>
    </row>
    <row r="45" spans="1:9" ht="12.75" thickBot="1" x14ac:dyDescent="0.25">
      <c r="A45" s="83" t="s">
        <v>57</v>
      </c>
      <c r="B45" s="120">
        <f ca="1">Gencost(Preschedule!B52:Y52,OFFSET(HeatRateStart,1,MATCH(A45,HeatRateNames,0)-1,250,1),I45)</f>
        <v>-32533.36328125</v>
      </c>
      <c r="C45" s="120"/>
      <c r="D45" s="120">
        <f t="shared" ca="1" si="7"/>
        <v>-32533.36328125</v>
      </c>
      <c r="E45" s="114">
        <f>SUM(Preschedule!B52:Y52)</f>
        <v>1520</v>
      </c>
      <c r="F45" s="120">
        <f t="shared" ca="1" si="8"/>
        <v>21.403528474506579</v>
      </c>
      <c r="G45" s="79">
        <f t="shared" ca="1" si="6"/>
        <v>21.403528474506579</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37308.978472222225</v>
      </c>
    </row>
    <row r="32" spans="2:2" x14ac:dyDescent="0.2">
      <c r="B32" t="s">
        <v>381</v>
      </c>
    </row>
    <row r="33" spans="2:2" x14ac:dyDescent="0.2">
      <c r="B33" t="s">
        <v>370</v>
      </c>
    </row>
    <row r="34" spans="2:2" x14ac:dyDescent="0.2">
      <c r="B34" t="s">
        <v>382</v>
      </c>
    </row>
    <row r="35" spans="2:2" x14ac:dyDescent="0.2">
      <c r="B35" t="s">
        <v>365</v>
      </c>
    </row>
    <row r="36" spans="2:2" x14ac:dyDescent="0.2">
      <c r="B36" t="s">
        <v>369</v>
      </c>
    </row>
    <row r="37" spans="2:2" x14ac:dyDescent="0.2">
      <c r="B37" t="s">
        <v>362</v>
      </c>
    </row>
    <row r="38" spans="2:2" x14ac:dyDescent="0.2">
      <c r="B38" t="s">
        <v>368</v>
      </c>
    </row>
    <row r="39" spans="2:2" x14ac:dyDescent="0.2">
      <c r="B39" t="s">
        <v>367</v>
      </c>
    </row>
    <row r="40" spans="2:2" x14ac:dyDescent="0.2">
      <c r="B40" t="s">
        <v>383</v>
      </c>
    </row>
    <row r="41" spans="2:2" x14ac:dyDescent="0.2">
      <c r="B41" t="s">
        <v>371</v>
      </c>
    </row>
    <row r="42" spans="2:2" x14ac:dyDescent="0.2">
      <c r="B42" t="s">
        <v>363</v>
      </c>
    </row>
    <row r="43" spans="2:2" x14ac:dyDescent="0.2">
      <c r="B43" t="s">
        <v>380</v>
      </c>
    </row>
    <row r="44" spans="2:2" x14ac:dyDescent="0.2">
      <c r="B44" t="s">
        <v>384</v>
      </c>
    </row>
    <row r="45" spans="2:2" x14ac:dyDescent="0.2">
      <c r="B45" t="s">
        <v>385</v>
      </c>
    </row>
    <row r="46" spans="2:2" x14ac:dyDescent="0.2">
      <c r="B46" t="s">
        <v>386</v>
      </c>
    </row>
    <row r="47" spans="2:2" x14ac:dyDescent="0.2">
      <c r="B47" t="s">
        <v>387</v>
      </c>
    </row>
    <row r="48" spans="2:2" x14ac:dyDescent="0.2">
      <c r="B48" t="s">
        <v>388</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2001-11-18T10:25:54Z</cp:lastPrinted>
  <dcterms:created xsi:type="dcterms:W3CDTF">1998-02-07T06:53:21Z</dcterms:created>
  <dcterms:modified xsi:type="dcterms:W3CDTF">2023-09-09T21:35:13Z</dcterms:modified>
</cp:coreProperties>
</file>