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604613-6D94-4428-A780-97A182E9ACA4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5" r:id="rId1"/>
    <sheet name="#1@15.15" sheetId="1" r:id="rId2"/>
    <sheet name="#2@15.10" sheetId="2" r:id="rId3"/>
    <sheet name="#3@15.50" sheetId="4" r:id="rId4"/>
    <sheet name="#4Daily Deal" sheetId="6" r:id="rId5"/>
    <sheet name="#5Feb@10.00" sheetId="7" r:id="rId6"/>
    <sheet name="#6Feb@11.55" sheetId="3" r:id="rId7"/>
  </sheets>
  <calcPr calcId="0"/>
</workbook>
</file>

<file path=xl/calcChain.xml><?xml version="1.0" encoding="utf-8"?>
<calcChain xmlns="http://schemas.openxmlformats.org/spreadsheetml/2006/main">
  <c r="J2" i="1" l="1"/>
  <c r="G9" i="1"/>
  <c r="H9" i="1"/>
  <c r="I9" i="1"/>
  <c r="J9" i="1"/>
  <c r="M10" i="1"/>
  <c r="H11" i="1"/>
  <c r="H12" i="1"/>
  <c r="J12" i="1"/>
  <c r="L12" i="1"/>
  <c r="J13" i="1"/>
  <c r="L13" i="1"/>
  <c r="H15" i="1"/>
  <c r="H16" i="1"/>
  <c r="J17" i="1"/>
  <c r="L17" i="1"/>
  <c r="J18" i="1"/>
  <c r="L18" i="1"/>
  <c r="I22" i="1"/>
  <c r="J22" i="1"/>
  <c r="I24" i="1"/>
  <c r="J24" i="1"/>
  <c r="L24" i="1"/>
  <c r="I26" i="1"/>
  <c r="I28" i="1"/>
  <c r="J30" i="1"/>
  <c r="L30" i="1"/>
  <c r="I32" i="1"/>
  <c r="J32" i="1"/>
  <c r="L32" i="1"/>
  <c r="G36" i="1"/>
  <c r="H37" i="1"/>
  <c r="I3" i="2"/>
  <c r="F10" i="2"/>
  <c r="G10" i="2"/>
  <c r="H10" i="2"/>
  <c r="I10" i="2"/>
  <c r="G12" i="2"/>
  <c r="G13" i="2"/>
  <c r="I13" i="2"/>
  <c r="K13" i="2"/>
  <c r="I14" i="2"/>
  <c r="K14" i="2"/>
  <c r="M15" i="2"/>
  <c r="G16" i="2"/>
  <c r="G17" i="2"/>
  <c r="I18" i="2"/>
  <c r="K18" i="2"/>
  <c r="I19" i="2"/>
  <c r="K19" i="2"/>
  <c r="H23" i="2"/>
  <c r="I23" i="2"/>
  <c r="H25" i="2"/>
  <c r="I25" i="2"/>
  <c r="K25" i="2"/>
  <c r="H27" i="2"/>
  <c r="H29" i="2"/>
  <c r="I31" i="2"/>
  <c r="K31" i="2"/>
  <c r="H33" i="2"/>
  <c r="I33" i="2"/>
  <c r="K33" i="2"/>
  <c r="F42" i="2"/>
  <c r="G43" i="2"/>
  <c r="I3" i="4"/>
  <c r="G10" i="4"/>
  <c r="H10" i="4"/>
  <c r="I10" i="4"/>
  <c r="G12" i="4"/>
  <c r="G13" i="4"/>
  <c r="I13" i="4"/>
  <c r="K13" i="4"/>
  <c r="I14" i="4"/>
  <c r="K14" i="4"/>
  <c r="G16" i="4"/>
  <c r="G17" i="4"/>
  <c r="M17" i="4"/>
  <c r="I18" i="4"/>
  <c r="K18" i="4"/>
  <c r="I19" i="4"/>
  <c r="K19" i="4"/>
  <c r="H23" i="4"/>
  <c r="I23" i="4"/>
  <c r="H25" i="4"/>
  <c r="I25" i="4"/>
  <c r="K25" i="4"/>
  <c r="H27" i="4"/>
  <c r="H29" i="4"/>
  <c r="I31" i="4"/>
  <c r="K31" i="4"/>
  <c r="H33" i="4"/>
  <c r="I33" i="4"/>
  <c r="K33" i="4"/>
  <c r="F42" i="4"/>
  <c r="G43" i="4"/>
  <c r="I3" i="6"/>
  <c r="F7" i="6"/>
  <c r="G7" i="6"/>
  <c r="H7" i="6"/>
  <c r="I7" i="6"/>
  <c r="G10" i="6"/>
  <c r="G11" i="6"/>
  <c r="I11" i="6"/>
  <c r="K11" i="6"/>
  <c r="I12" i="6"/>
  <c r="K12" i="6"/>
  <c r="G14" i="6"/>
  <c r="G15" i="6"/>
  <c r="I16" i="6"/>
  <c r="K16" i="6"/>
  <c r="I17" i="6"/>
  <c r="K17" i="6"/>
  <c r="H21" i="6"/>
  <c r="I21" i="6"/>
  <c r="H23" i="6"/>
  <c r="I23" i="6"/>
  <c r="K23" i="6"/>
  <c r="H25" i="6"/>
  <c r="H27" i="6"/>
  <c r="I29" i="6"/>
  <c r="K29" i="6"/>
  <c r="H31" i="6"/>
  <c r="I31" i="6"/>
  <c r="K31" i="6"/>
  <c r="F34" i="6"/>
  <c r="G35" i="6"/>
  <c r="D71" i="6"/>
  <c r="E71" i="6"/>
  <c r="I3" i="7"/>
  <c r="G10" i="7"/>
  <c r="H10" i="7"/>
  <c r="I10" i="7"/>
  <c r="G12" i="7"/>
  <c r="G13" i="7"/>
  <c r="I13" i="7"/>
  <c r="K13" i="7"/>
  <c r="I14" i="7"/>
  <c r="K14" i="7"/>
  <c r="G16" i="7"/>
  <c r="G17" i="7"/>
  <c r="M17" i="7"/>
  <c r="I18" i="7"/>
  <c r="K18" i="7"/>
  <c r="I19" i="7"/>
  <c r="K19" i="7"/>
  <c r="H23" i="7"/>
  <c r="I23" i="7"/>
  <c r="H25" i="7"/>
  <c r="I25" i="7"/>
  <c r="K25" i="7"/>
  <c r="H27" i="7"/>
  <c r="H29" i="7"/>
  <c r="I31" i="7"/>
  <c r="K31" i="7"/>
  <c r="H33" i="7"/>
  <c r="I33" i="7"/>
  <c r="K33" i="7"/>
  <c r="I37" i="7"/>
  <c r="I38" i="7"/>
  <c r="F42" i="7"/>
  <c r="G42" i="7"/>
  <c r="G43" i="7"/>
  <c r="I3" i="3"/>
  <c r="G10" i="3"/>
  <c r="H10" i="3"/>
  <c r="I10" i="3"/>
  <c r="G12" i="3"/>
  <c r="G13" i="3"/>
  <c r="I13" i="3"/>
  <c r="K13" i="3"/>
  <c r="I14" i="3"/>
  <c r="K14" i="3"/>
  <c r="G16" i="3"/>
  <c r="G17" i="3"/>
  <c r="M17" i="3"/>
  <c r="I18" i="3"/>
  <c r="K18" i="3"/>
  <c r="I19" i="3"/>
  <c r="K19" i="3"/>
  <c r="H23" i="3"/>
  <c r="I23" i="3"/>
  <c r="H25" i="3"/>
  <c r="I25" i="3"/>
  <c r="K25" i="3"/>
  <c r="H27" i="3"/>
  <c r="H29" i="3"/>
  <c r="I31" i="3"/>
  <c r="K31" i="3"/>
  <c r="H33" i="3"/>
  <c r="I33" i="3"/>
  <c r="K33" i="3"/>
  <c r="F42" i="3"/>
  <c r="G42" i="3"/>
  <c r="G43" i="3"/>
  <c r="D5" i="5"/>
  <c r="E5" i="5"/>
  <c r="F5" i="5"/>
  <c r="G5" i="5"/>
  <c r="I5" i="5"/>
  <c r="J5" i="5"/>
  <c r="K5" i="5"/>
  <c r="D6" i="5"/>
  <c r="E6" i="5"/>
  <c r="F6" i="5"/>
  <c r="G6" i="5"/>
  <c r="I6" i="5"/>
  <c r="J6" i="5"/>
  <c r="K6" i="5"/>
  <c r="D7" i="5"/>
  <c r="E7" i="5"/>
  <c r="F7" i="5"/>
  <c r="G7" i="5"/>
  <c r="I7" i="5"/>
  <c r="J7" i="5"/>
  <c r="K7" i="5"/>
  <c r="D8" i="5"/>
  <c r="E8" i="5"/>
  <c r="F8" i="5"/>
  <c r="G8" i="5"/>
  <c r="I8" i="5"/>
  <c r="J8" i="5"/>
  <c r="K8" i="5"/>
  <c r="D11" i="5"/>
  <c r="E11" i="5"/>
  <c r="F11" i="5"/>
  <c r="G11" i="5"/>
  <c r="I11" i="5"/>
  <c r="J11" i="5"/>
  <c r="K11" i="5"/>
  <c r="E14" i="5"/>
  <c r="E19" i="5"/>
  <c r="E20" i="5"/>
  <c r="E22" i="5"/>
  <c r="D23" i="5"/>
  <c r="E23" i="5"/>
  <c r="E24" i="5"/>
</calcChain>
</file>

<file path=xl/sharedStrings.xml><?xml version="1.0" encoding="utf-8"?>
<sst xmlns="http://schemas.openxmlformats.org/spreadsheetml/2006/main" count="191" uniqueCount="61">
  <si>
    <t>TENASKA</t>
  </si>
  <si>
    <t>NNG/TW</t>
  </si>
  <si>
    <t>VOLUME</t>
  </si>
  <si>
    <t>PRICE</t>
  </si>
  <si>
    <t>TOTAL GAINS</t>
  </si>
  <si>
    <t>CASH FLOW</t>
  </si>
  <si>
    <t>CASHFLOW</t>
  </si>
  <si>
    <t>JANUARY  2001 NYMEX PRICE:</t>
  </si>
  <si>
    <t>JANUARY 2001 PERMIAN BASIS PRICE:</t>
  </si>
  <si>
    <t>PHYSICAL PREMIUM / DISCOUNT:</t>
  </si>
  <si>
    <t>PERMIAN FIXED PRICE:</t>
  </si>
  <si>
    <t>FUEL RATE PERMIAN TO TW/HALEY:</t>
  </si>
  <si>
    <t>DEMAND:</t>
  </si>
  <si>
    <t>COMMODITY:</t>
  </si>
  <si>
    <t>TW/NNG HALEY PRICE</t>
  </si>
  <si>
    <t>TW FUEL</t>
  </si>
  <si>
    <t>TW DEMAND</t>
  </si>
  <si>
    <t>TW COMMODITY:</t>
  </si>
  <si>
    <t>CALIFORNIA PRICE</t>
  </si>
  <si>
    <t>CASH FLOW BEFORE SHARING:</t>
  </si>
  <si>
    <t>TENASKA SHARE @ 8%</t>
  </si>
  <si>
    <t>NNG/TW SHARE @ 92%</t>
  </si>
  <si>
    <t>PAYMENT TRANSFER THRU SWAP</t>
  </si>
  <si>
    <t>NET CASH</t>
  </si>
  <si>
    <t>PERMIAN POOL VOLUME</t>
  </si>
  <si>
    <t xml:space="preserve">TW / HALEY </t>
  </si>
  <si>
    <t>VOLUME AT THE BORDER</t>
  </si>
  <si>
    <t>TW - OPERATION SUN DEVIL # Package #1</t>
  </si>
  <si>
    <t>TW - OPERATION SUN DEVIL Package #2</t>
  </si>
  <si>
    <t>TW - OPERATION SUN DEVIL Package #3</t>
  </si>
  <si>
    <t>TW - OPERATION SUN DEVIL Package #4</t>
  </si>
  <si>
    <t>(Daily Price Spread)</t>
  </si>
  <si>
    <t>PERMIAN GAS DAILY AVE. PRICE:</t>
  </si>
  <si>
    <t>(See Table)</t>
  </si>
  <si>
    <t>NNG TRANSPORT REV.</t>
  </si>
  <si>
    <t>TW TRANSPORT REV.</t>
  </si>
  <si>
    <t>TENASKA SHARE</t>
  </si>
  <si>
    <t>PACKAGE #1</t>
  </si>
  <si>
    <t>PACKAGE #2</t>
  </si>
  <si>
    <t>PACKAGE #3</t>
  </si>
  <si>
    <t>PACKAGE #4</t>
  </si>
  <si>
    <t>SWAP VALUE</t>
  </si>
  <si>
    <t>TOTAL ETS VALUE</t>
  </si>
  <si>
    <t>TOTALS</t>
  </si>
  <si>
    <t>PRICE TABLE</t>
  </si>
  <si>
    <t>PERMIAN</t>
  </si>
  <si>
    <t>PGE</t>
  </si>
  <si>
    <t>CITY GATE</t>
  </si>
  <si>
    <t>TW - OPERATION SUN DEVIL SUMMARY</t>
  </si>
  <si>
    <t>TW - OPERATION SUN DEVIL Package #5</t>
  </si>
  <si>
    <t>FEBRUARY  2001 NYMEX PRICE:</t>
  </si>
  <si>
    <t>FEBRUARY 2001 PERMIAN BASIS PRICE:</t>
  </si>
  <si>
    <t>PACKAGE #5</t>
  </si>
  <si>
    <t xml:space="preserve">NNG SELLS NYMEX LAST DAY </t>
  </si>
  <si>
    <t>NNG BUYS FIXED</t>
  </si>
  <si>
    <t>NNG SELLS FIXED</t>
  </si>
  <si>
    <t>NNG BUYS NYMEX LAST DAY</t>
  </si>
  <si>
    <t>NO OF DAYS--&gt;</t>
  </si>
  <si>
    <t>TW - OPERATION SUN DEVIL Package #6</t>
  </si>
  <si>
    <t>PACKAGE #6</t>
  </si>
  <si>
    <t>Tenaska Swap (Apr -Dec)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</si>
</sst>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9" formatCode="_(&quot;$&quot;* #,##0.0000_);_(&quot;$&quot;* \(#,##0.0000\);_(&quot;$&quot;* &quot;-&quot;??_);_(@_)"/>
    <numFmt numFmtId="171" formatCode="0.0000"/>
    <numFmt numFmtId="173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10" fontId="0" fillId="0" borderId="0" xfId="3" applyNumberFormat="1" applyFont="1"/>
    <xf numFmtId="1" fontId="0" fillId="0" borderId="0" xfId="0" applyNumberFormat="1"/>
    <xf numFmtId="44" fontId="0" fillId="0" borderId="0" xfId="2" applyFont="1"/>
    <xf numFmtId="0" fontId="3" fillId="0" borderId="0" xfId="0" applyFont="1"/>
    <xf numFmtId="22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71" fontId="0" fillId="0" borderId="0" xfId="2" applyNumberFormat="1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1" xfId="2" applyFont="1" applyBorder="1"/>
    <xf numFmtId="44" fontId="0" fillId="0" borderId="0" xfId="2" applyFont="1" applyBorder="1"/>
    <xf numFmtId="44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73" fontId="0" fillId="0" borderId="0" xfId="1" applyNumberFormat="1" applyFont="1"/>
    <xf numFmtId="0" fontId="0" fillId="0" borderId="1" xfId="0" applyBorder="1" applyAlignment="1">
      <alignment horizontal="center"/>
    </xf>
    <xf numFmtId="44" fontId="0" fillId="0" borderId="1" xfId="0" applyNumberFormat="1" applyBorder="1"/>
    <xf numFmtId="171" fontId="2" fillId="0" borderId="0" xfId="0" applyNumberFormat="1" applyFont="1" applyAlignment="1">
      <alignment horizontal="center"/>
    </xf>
    <xf numFmtId="44" fontId="2" fillId="0" borderId="2" xfId="2" applyFont="1" applyBorder="1"/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3" xfId="0" applyFont="1" applyBorder="1"/>
    <xf numFmtId="0" fontId="5" fillId="0" borderId="4" xfId="0" applyFont="1" applyBorder="1"/>
    <xf numFmtId="44" fontId="5" fillId="0" borderId="4" xfId="0" applyNumberFormat="1" applyFont="1" applyBorder="1"/>
    <xf numFmtId="44" fontId="5" fillId="0" borderId="4" xfId="2" applyFont="1" applyBorder="1"/>
    <xf numFmtId="44" fontId="5" fillId="0" borderId="5" xfId="2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44" fontId="0" fillId="0" borderId="10" xfId="2" applyFont="1" applyBorder="1"/>
    <xf numFmtId="44" fontId="0" fillId="0" borderId="12" xfId="2" applyFont="1" applyBorder="1"/>
    <xf numFmtId="44" fontId="0" fillId="0" borderId="3" xfId="2" applyFont="1" applyBorder="1"/>
    <xf numFmtId="44" fontId="0" fillId="0" borderId="5" xfId="2" applyFont="1" applyBorder="1"/>
    <xf numFmtId="0" fontId="2" fillId="0" borderId="0" xfId="0" applyFont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0" borderId="8" xfId="0" applyBorder="1"/>
    <xf numFmtId="0" fontId="0" fillId="0" borderId="10" xfId="0" applyBorder="1"/>
    <xf numFmtId="173" fontId="0" fillId="0" borderId="10" xfId="1" applyNumberFormat="1" applyFont="1" applyBorder="1"/>
    <xf numFmtId="44" fontId="2" fillId="0" borderId="0" xfId="2" applyFont="1" applyBorder="1"/>
    <xf numFmtId="44" fontId="0" fillId="0" borderId="12" xfId="0" applyNumberFormat="1" applyBorder="1"/>
    <xf numFmtId="0" fontId="2" fillId="0" borderId="6" xfId="0" applyFont="1" applyBorder="1"/>
    <xf numFmtId="169" fontId="2" fillId="0" borderId="0" xfId="2" applyNumberFormat="1" applyFont="1" applyBorder="1"/>
    <xf numFmtId="44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</xdr:row>
      <xdr:rowOff>0</xdr:rowOff>
    </xdr:from>
    <xdr:to>
      <xdr:col>10</xdr:col>
      <xdr:colOff>9525</xdr:colOff>
      <xdr:row>23</xdr:row>
      <xdr:rowOff>66675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B9BA613A-A257-FC8D-D6D7-54E383FD9F5A}"/>
            </a:ext>
          </a:extLst>
        </xdr:cNvPr>
        <xdr:cNvSpPr>
          <a:spLocks noChangeShapeType="1"/>
        </xdr:cNvSpPr>
      </xdr:nvSpPr>
      <xdr:spPr bwMode="auto">
        <a:xfrm flipH="1">
          <a:off x="5238750" y="1143000"/>
          <a:ext cx="3933825" cy="270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tabSelected="1" topLeftCell="D1" workbookViewId="0">
      <selection activeCell="L23" sqref="L23"/>
    </sheetView>
  </sheetViews>
  <sheetFormatPr defaultRowHeight="12.75" x14ac:dyDescent="0.2"/>
  <cols>
    <col min="3" max="3" width="28.140625" customWidth="1"/>
    <col min="4" max="4" width="15.140625" customWidth="1"/>
    <col min="5" max="5" width="15.7109375" customWidth="1"/>
    <col min="6" max="6" width="13.28515625" customWidth="1"/>
    <col min="7" max="7" width="14.42578125" customWidth="1"/>
    <col min="8" max="8" width="2.7109375" customWidth="1"/>
    <col min="9" max="10" width="14.85546875" customWidth="1"/>
    <col min="11" max="11" width="18.140625" customWidth="1"/>
  </cols>
  <sheetData>
    <row r="2" spans="3:11" x14ac:dyDescent="0.2">
      <c r="C2" s="26" t="s">
        <v>48</v>
      </c>
    </row>
    <row r="3" spans="3:11" x14ac:dyDescent="0.2">
      <c r="D3" s="25"/>
      <c r="E3" s="25"/>
      <c r="F3" s="25"/>
      <c r="G3" s="25"/>
      <c r="H3" s="25"/>
      <c r="I3" s="25"/>
      <c r="J3" s="25"/>
    </row>
    <row r="4" spans="3:11" x14ac:dyDescent="0.2">
      <c r="D4" s="43" t="s">
        <v>37</v>
      </c>
      <c r="E4" s="43" t="s">
        <v>38</v>
      </c>
      <c r="F4" s="25" t="s">
        <v>39</v>
      </c>
      <c r="G4" s="43" t="s">
        <v>40</v>
      </c>
      <c r="H4" s="25"/>
      <c r="I4" s="43" t="s">
        <v>52</v>
      </c>
      <c r="J4" s="43" t="s">
        <v>59</v>
      </c>
      <c r="K4" s="43" t="s">
        <v>43</v>
      </c>
    </row>
    <row r="5" spans="3:11" x14ac:dyDescent="0.2">
      <c r="C5" t="s">
        <v>34</v>
      </c>
      <c r="D5" s="11">
        <f>+'#1@15.15'!L12+'#1@15.15'!L13</f>
        <v>43170.75</v>
      </c>
      <c r="E5" s="11">
        <f t="shared" ref="E5:G6" si="0">+D5</f>
        <v>43170.75</v>
      </c>
      <c r="F5" s="11">
        <f t="shared" si="0"/>
        <v>43170.75</v>
      </c>
      <c r="G5" s="11">
        <f t="shared" si="0"/>
        <v>43170.75</v>
      </c>
      <c r="I5" s="11">
        <f>+'#5Feb@10.00'!K13+'#5Feb@10.00'!K14</f>
        <v>77985.870967741925</v>
      </c>
      <c r="J5" s="11">
        <f>+'#6Feb@11.55'!K13+'#6Feb@11.55'!K14</f>
        <v>77985.870967741925</v>
      </c>
      <c r="K5" s="11">
        <f>SUM(D5:J5)</f>
        <v>328654.74193548388</v>
      </c>
    </row>
    <row r="6" spans="3:11" x14ac:dyDescent="0.2">
      <c r="C6" t="s">
        <v>35</v>
      </c>
      <c r="D6" s="11">
        <f>+'#1@15.15'!L17+'#1@15.15'!L18</f>
        <v>59473.5</v>
      </c>
      <c r="E6" s="11">
        <f t="shared" si="0"/>
        <v>59473.5</v>
      </c>
      <c r="F6" s="11">
        <f t="shared" si="0"/>
        <v>59473.5</v>
      </c>
      <c r="G6" s="11">
        <f t="shared" si="0"/>
        <v>59473.5</v>
      </c>
      <c r="I6" s="11">
        <f>+'#5Feb@10.00'!K18+'#5Feb@10.00'!K19</f>
        <v>107436</v>
      </c>
      <c r="J6" s="11">
        <f>+'#6Feb@11.55'!K18+'#6Feb@11.55'!K19</f>
        <v>107436</v>
      </c>
      <c r="K6" s="11">
        <f>SUM(D6:J6)</f>
        <v>452766</v>
      </c>
    </row>
    <row r="7" spans="3:11" ht="13.5" thickBot="1" x14ac:dyDescent="0.25">
      <c r="C7" t="s">
        <v>41</v>
      </c>
      <c r="D7" s="20">
        <f>+'#1@15.15'!L30</f>
        <v>565952.39159999974</v>
      </c>
      <c r="E7" s="20">
        <f>+'#2@15.10'!K31</f>
        <v>509241.91539999994</v>
      </c>
      <c r="F7" s="20">
        <f>+'#3@15.50'!K31</f>
        <v>605868.58679999982</v>
      </c>
      <c r="G7" s="20">
        <f>+'#4Daily Deal'!K29</f>
        <v>181286.78359999985</v>
      </c>
      <c r="I7" s="20">
        <f>+'#5Feb@10.00'!K31</f>
        <v>665982.39911225846</v>
      </c>
      <c r="J7" s="20">
        <f>+'#6Feb@11.55'!K31</f>
        <v>785887.78023225779</v>
      </c>
      <c r="K7" s="20">
        <f>SUM(D7:J7)</f>
        <v>3314219.8567445152</v>
      </c>
    </row>
    <row r="8" spans="3:11" ht="13.5" thickBot="1" x14ac:dyDescent="0.25">
      <c r="C8" t="s">
        <v>42</v>
      </c>
      <c r="D8" s="11">
        <f>SUM(D5:D7)</f>
        <v>668596.64159999974</v>
      </c>
      <c r="E8" s="11">
        <f>SUM(E5:E7)</f>
        <v>611886.16539999994</v>
      </c>
      <c r="F8" s="11">
        <f>SUM(F5:F7)</f>
        <v>708512.83679999982</v>
      </c>
      <c r="G8" s="11">
        <f>SUM(G5:G7)</f>
        <v>283931.03359999985</v>
      </c>
      <c r="I8" s="11">
        <f>+I5+I6+I7</f>
        <v>851404.27008000039</v>
      </c>
      <c r="J8" s="11">
        <f>+J5+J6+J7</f>
        <v>971309.65119999973</v>
      </c>
      <c r="K8" s="52">
        <f>SUM(K5:K7)</f>
        <v>4095640.5986799989</v>
      </c>
    </row>
    <row r="10" spans="3:11" ht="13.5" thickBot="1" x14ac:dyDescent="0.25"/>
    <row r="11" spans="3:11" ht="13.5" thickBot="1" x14ac:dyDescent="0.25">
      <c r="C11" t="s">
        <v>36</v>
      </c>
      <c r="D11" s="11">
        <f>+'#1@15.15'!I26</f>
        <v>58138.838399999979</v>
      </c>
      <c r="E11" s="11">
        <f>+'#2@15.10'!H27</f>
        <v>53155.129599999993</v>
      </c>
      <c r="F11" s="11">
        <f>+'#3@15.50'!H27</f>
        <v>61553.203199999989</v>
      </c>
      <c r="G11" s="11">
        <f>+'#4Daily Deal'!H25</f>
        <v>24633.046399999988</v>
      </c>
      <c r="I11" s="11">
        <f>+'#6Feb@11.55'!H27</f>
        <v>84461.708799999993</v>
      </c>
      <c r="J11" s="11">
        <f>+'#6Feb@11.55'!H27</f>
        <v>84461.708799999993</v>
      </c>
      <c r="K11" s="52">
        <f>SUM(D11:J11)</f>
        <v>366403.6351999999</v>
      </c>
    </row>
    <row r="13" spans="3:11" ht="13.5" thickBot="1" x14ac:dyDescent="0.25"/>
    <row r="14" spans="3:11" x14ac:dyDescent="0.2">
      <c r="C14" s="50" t="s">
        <v>60</v>
      </c>
      <c r="D14" s="33" t="s">
        <v>57</v>
      </c>
      <c r="E14" s="45">
        <f>214+30+31</f>
        <v>275</v>
      </c>
    </row>
    <row r="15" spans="3:11" x14ac:dyDescent="0.2">
      <c r="C15" s="35"/>
      <c r="D15" s="16"/>
      <c r="E15" s="46"/>
    </row>
    <row r="16" spans="3:11" x14ac:dyDescent="0.2">
      <c r="C16" s="35" t="s">
        <v>2</v>
      </c>
      <c r="D16" s="16"/>
      <c r="E16" s="47">
        <v>20000</v>
      </c>
    </row>
    <row r="17" spans="3:5" x14ac:dyDescent="0.2">
      <c r="C17" s="35"/>
      <c r="D17" s="16"/>
      <c r="E17" s="46"/>
    </row>
    <row r="18" spans="3:5" x14ac:dyDescent="0.2">
      <c r="C18" s="35"/>
      <c r="D18" s="16"/>
      <c r="E18" s="46"/>
    </row>
    <row r="19" spans="3:5" x14ac:dyDescent="0.2">
      <c r="C19" s="35" t="s">
        <v>54</v>
      </c>
      <c r="D19" s="48">
        <v>-5</v>
      </c>
      <c r="E19" s="39">
        <f>+D19*E$16*E$14</f>
        <v>-27500000</v>
      </c>
    </row>
    <row r="20" spans="3:5" x14ac:dyDescent="0.2">
      <c r="C20" s="35" t="s">
        <v>53</v>
      </c>
      <c r="D20" s="14">
        <v>6</v>
      </c>
      <c r="E20" s="39">
        <f>+D20*E$16*E$14</f>
        <v>33000000</v>
      </c>
    </row>
    <row r="21" spans="3:5" x14ac:dyDescent="0.2">
      <c r="C21" s="35"/>
      <c r="D21" s="14"/>
      <c r="E21" s="39"/>
    </row>
    <row r="22" spans="3:5" x14ac:dyDescent="0.2">
      <c r="C22" s="35" t="s">
        <v>55</v>
      </c>
      <c r="D22" s="51">
        <v>5.6025999999999998</v>
      </c>
      <c r="E22" s="39">
        <f>+D22*E$16*E$14</f>
        <v>30814300</v>
      </c>
    </row>
    <row r="23" spans="3:5" ht="13.5" thickBot="1" x14ac:dyDescent="0.25">
      <c r="C23" s="35" t="s">
        <v>56</v>
      </c>
      <c r="D23" s="14">
        <f>-D20</f>
        <v>-6</v>
      </c>
      <c r="E23" s="40">
        <f>+D23*E$16*E$14</f>
        <v>-33000000</v>
      </c>
    </row>
    <row r="24" spans="3:5" ht="13.5" thickBot="1" x14ac:dyDescent="0.25">
      <c r="C24" s="38"/>
      <c r="D24" s="1"/>
      <c r="E24" s="49">
        <f>SUM(E19:E23)</f>
        <v>3314300</v>
      </c>
    </row>
  </sheetData>
  <pageMargins left="0.75" right="0.75" top="1" bottom="1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39"/>
  <sheetViews>
    <sheetView topLeftCell="B9" workbookViewId="0">
      <selection activeCell="F14" sqref="F14"/>
    </sheetView>
  </sheetViews>
  <sheetFormatPr defaultRowHeight="12.75" x14ac:dyDescent="0.2"/>
  <cols>
    <col min="6" max="6" width="16.42578125" customWidth="1"/>
    <col min="7" max="7" width="9" customWidth="1"/>
    <col min="8" max="8" width="9.42578125" customWidth="1"/>
    <col min="9" max="9" width="17.42578125" customWidth="1"/>
    <col min="10" max="10" width="16.5703125" customWidth="1"/>
    <col min="11" max="11" width="3" customWidth="1"/>
    <col min="12" max="12" width="16.85546875" customWidth="1"/>
    <col min="13" max="13" width="15" customWidth="1"/>
  </cols>
  <sheetData>
    <row r="2" spans="4:13" ht="18.75" x14ac:dyDescent="0.3">
      <c r="D2" s="5" t="s">
        <v>27</v>
      </c>
      <c r="J2" s="6">
        <f ca="1">NOW()</f>
        <v>36927.595744444443</v>
      </c>
      <c r="K2" s="6"/>
    </row>
    <row r="4" spans="4:13" x14ac:dyDescent="0.2">
      <c r="J4" s="12" t="s">
        <v>0</v>
      </c>
      <c r="K4" s="12"/>
      <c r="L4" s="12" t="s">
        <v>1</v>
      </c>
    </row>
    <row r="5" spans="4:13" ht="13.5" thickBot="1" x14ac:dyDescent="0.25">
      <c r="G5" s="19" t="s">
        <v>2</v>
      </c>
      <c r="H5" s="19" t="s">
        <v>3</v>
      </c>
      <c r="I5" s="19" t="s">
        <v>4</v>
      </c>
      <c r="J5" s="19" t="s">
        <v>5</v>
      </c>
      <c r="K5" s="19"/>
      <c r="L5" s="19" t="s">
        <v>6</v>
      </c>
    </row>
    <row r="6" spans="4:13" x14ac:dyDescent="0.2">
      <c r="D6" t="s">
        <v>7</v>
      </c>
      <c r="H6" s="23">
        <v>9.52</v>
      </c>
    </row>
    <row r="7" spans="4:13" x14ac:dyDescent="0.2">
      <c r="D7" t="s">
        <v>8</v>
      </c>
      <c r="H7" s="7">
        <v>0.24</v>
      </c>
    </row>
    <row r="8" spans="4:13" ht="13.5" thickBot="1" x14ac:dyDescent="0.25">
      <c r="D8" t="s">
        <v>9</v>
      </c>
      <c r="H8" s="8">
        <v>0.05</v>
      </c>
    </row>
    <row r="9" spans="4:13" x14ac:dyDescent="0.2">
      <c r="D9" t="s">
        <v>10</v>
      </c>
      <c r="G9" s="18">
        <f>+H36</f>
        <v>5332</v>
      </c>
      <c r="H9" s="7">
        <f>+H6+H7+H8</f>
        <v>9.81</v>
      </c>
      <c r="I9" s="11">
        <f>+J9</f>
        <v>-1621514.5200000003</v>
      </c>
      <c r="J9" s="4">
        <f>-H9*H36*31</f>
        <v>-1621514.5200000003</v>
      </c>
      <c r="K9" s="4"/>
    </row>
    <row r="10" spans="4:13" x14ac:dyDescent="0.2">
      <c r="H10" s="7"/>
      <c r="J10" s="4"/>
      <c r="K10" s="4"/>
      <c r="M10">
        <f>15.15-9.85</f>
        <v>5.3000000000000007</v>
      </c>
    </row>
    <row r="11" spans="4:13" x14ac:dyDescent="0.2">
      <c r="D11" t="s">
        <v>11</v>
      </c>
      <c r="G11" s="2">
        <v>1.29E-2</v>
      </c>
      <c r="H11" s="9">
        <f>+G11*H9</f>
        <v>0.12654899999999999</v>
      </c>
      <c r="J11" s="4"/>
      <c r="K11" s="4"/>
    </row>
    <row r="12" spans="4:13" x14ac:dyDescent="0.2">
      <c r="D12" t="s">
        <v>12</v>
      </c>
      <c r="H12" s="9">
        <f>7.913/31</f>
        <v>0.25525806451612904</v>
      </c>
      <c r="J12" s="4">
        <f>-H12*H37*31</f>
        <v>-41543.25</v>
      </c>
      <c r="K12" s="4"/>
      <c r="L12" s="11">
        <f>-J12</f>
        <v>41543.25</v>
      </c>
    </row>
    <row r="13" spans="4:13" x14ac:dyDescent="0.2">
      <c r="D13" t="s">
        <v>13</v>
      </c>
      <c r="H13" s="10">
        <v>0.01</v>
      </c>
      <c r="J13" s="4">
        <f>-H37*H13*31</f>
        <v>-1627.5</v>
      </c>
      <c r="K13" s="4"/>
      <c r="L13" s="11">
        <f>-J13</f>
        <v>1627.5</v>
      </c>
    </row>
    <row r="14" spans="4:13" x14ac:dyDescent="0.2">
      <c r="H14" s="7"/>
      <c r="J14" s="4"/>
      <c r="K14" s="4"/>
    </row>
    <row r="15" spans="4:13" x14ac:dyDescent="0.2">
      <c r="D15" t="s">
        <v>14</v>
      </c>
      <c r="H15" s="7">
        <f>+H9+H11+H12+H13</f>
        <v>10.20180706451613</v>
      </c>
      <c r="J15" s="4"/>
      <c r="K15" s="4"/>
    </row>
    <row r="16" spans="4:13" x14ac:dyDescent="0.2">
      <c r="D16" t="s">
        <v>15</v>
      </c>
      <c r="H16" s="7">
        <f>+H15/0.95</f>
        <v>10.738744278438032</v>
      </c>
      <c r="J16" s="4"/>
      <c r="K16" s="4"/>
    </row>
    <row r="17" spans="4:12" x14ac:dyDescent="0.2">
      <c r="D17" t="s">
        <v>16</v>
      </c>
      <c r="H17" s="21">
        <v>0.35189999999999999</v>
      </c>
      <c r="J17" s="4">
        <f>-H17*H38*31</f>
        <v>-54544.5</v>
      </c>
      <c r="K17" s="4"/>
      <c r="L17" s="11">
        <f>-J17</f>
        <v>54544.5</v>
      </c>
    </row>
    <row r="18" spans="4:12" x14ac:dyDescent="0.2">
      <c r="D18" t="s">
        <v>17</v>
      </c>
      <c r="H18" s="21">
        <v>3.1800000000000002E-2</v>
      </c>
      <c r="J18" s="4">
        <f>-H18*H38*31</f>
        <v>-4929</v>
      </c>
      <c r="K18" s="4"/>
      <c r="L18" s="11">
        <f>-J18</f>
        <v>4929</v>
      </c>
    </row>
    <row r="19" spans="4:12" x14ac:dyDescent="0.2">
      <c r="H19" s="7"/>
    </row>
    <row r="20" spans="4:12" x14ac:dyDescent="0.2">
      <c r="H20" s="7"/>
    </row>
    <row r="21" spans="4:12" x14ac:dyDescent="0.2">
      <c r="H21" s="7"/>
    </row>
    <row r="22" spans="4:12" ht="13.5" thickBot="1" x14ac:dyDescent="0.25">
      <c r="D22" t="s">
        <v>18</v>
      </c>
      <c r="G22" s="18">
        <v>5000</v>
      </c>
      <c r="H22" s="23">
        <v>15.15</v>
      </c>
      <c r="I22" s="20">
        <f>+J22</f>
        <v>2348250</v>
      </c>
      <c r="J22" s="13">
        <f>+H22*H38*31</f>
        <v>2348250</v>
      </c>
      <c r="K22" s="14"/>
      <c r="L22" s="1"/>
    </row>
    <row r="24" spans="4:12" x14ac:dyDescent="0.2">
      <c r="D24" s="16" t="s">
        <v>19</v>
      </c>
      <c r="E24" s="16"/>
      <c r="F24" s="16"/>
      <c r="G24" s="16"/>
      <c r="H24" s="17"/>
      <c r="I24" s="11">
        <f>+I9+I22</f>
        <v>726735.47999999975</v>
      </c>
      <c r="J24" s="15">
        <f>SUM(J9:J22)</f>
        <v>624091.22999999975</v>
      </c>
      <c r="K24" s="15"/>
      <c r="L24" s="15">
        <f>SUM(L12:L22)</f>
        <v>102644.25</v>
      </c>
    </row>
    <row r="25" spans="4:12" ht="13.5" thickBot="1" x14ac:dyDescent="0.25"/>
    <row r="26" spans="4:12" ht="13.5" thickBot="1" x14ac:dyDescent="0.25">
      <c r="D26" t="s">
        <v>20</v>
      </c>
      <c r="I26" s="22">
        <f>+I24*0.08</f>
        <v>58138.838399999979</v>
      </c>
      <c r="J26" s="11"/>
      <c r="K26" s="11"/>
    </row>
    <row r="27" spans="4:12" x14ac:dyDescent="0.2">
      <c r="J27" s="16"/>
    </row>
    <row r="28" spans="4:12" x14ac:dyDescent="0.2">
      <c r="D28" t="s">
        <v>21</v>
      </c>
      <c r="I28" s="4">
        <f>+I24*0.92</f>
        <v>668596.64159999974</v>
      </c>
      <c r="J28" s="11"/>
      <c r="K28" s="11"/>
    </row>
    <row r="30" spans="4:12" x14ac:dyDescent="0.2">
      <c r="D30" t="s">
        <v>22</v>
      </c>
      <c r="J30" s="11">
        <f>+J32-J24</f>
        <v>-565952.39159999974</v>
      </c>
      <c r="K30" s="4"/>
      <c r="L30" s="11">
        <f>-J30</f>
        <v>565952.39159999974</v>
      </c>
    </row>
    <row r="31" spans="4:12" ht="13.5" thickBot="1" x14ac:dyDescent="0.25">
      <c r="I31" s="16"/>
      <c r="J31" s="14"/>
      <c r="K31" s="14"/>
      <c r="L31" s="16"/>
    </row>
    <row r="32" spans="4:12" ht="16.5" thickBot="1" x14ac:dyDescent="0.3">
      <c r="D32" s="27" t="s">
        <v>23</v>
      </c>
      <c r="E32" s="28"/>
      <c r="F32" s="28"/>
      <c r="G32" s="28"/>
      <c r="H32" s="28"/>
      <c r="I32" s="29">
        <f>+I24</f>
        <v>726735.47999999975</v>
      </c>
      <c r="J32" s="29">
        <f>+I26</f>
        <v>58138.838399999979</v>
      </c>
      <c r="K32" s="30"/>
      <c r="L32" s="31">
        <f>+I28</f>
        <v>668596.64159999974</v>
      </c>
    </row>
    <row r="33" spans="4:12" x14ac:dyDescent="0.2">
      <c r="J33" s="14"/>
      <c r="K33" s="14"/>
      <c r="L33" s="11"/>
    </row>
    <row r="34" spans="4:12" x14ac:dyDescent="0.2">
      <c r="J34" s="4"/>
      <c r="K34" s="4"/>
      <c r="L34" s="11"/>
    </row>
    <row r="36" spans="4:12" x14ac:dyDescent="0.2">
      <c r="D36" t="s">
        <v>24</v>
      </c>
      <c r="G36">
        <f>+(1-0.0129)</f>
        <v>0.98709999999999998</v>
      </c>
      <c r="H36" s="3">
        <v>5332</v>
      </c>
      <c r="L36" s="11"/>
    </row>
    <row r="37" spans="4:12" x14ac:dyDescent="0.2">
      <c r="D37" t="s">
        <v>25</v>
      </c>
      <c r="H37" s="3">
        <f>+H38*1.05</f>
        <v>5250</v>
      </c>
      <c r="L37" s="11"/>
    </row>
    <row r="38" spans="4:12" x14ac:dyDescent="0.2">
      <c r="D38" t="s">
        <v>26</v>
      </c>
      <c r="H38" s="3">
        <v>5000</v>
      </c>
      <c r="K38" s="16"/>
      <c r="L38" s="15"/>
    </row>
    <row r="39" spans="4:12" x14ac:dyDescent="0.2">
      <c r="K39" s="16"/>
      <c r="L39" s="15"/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4"/>
  <sheetViews>
    <sheetView topLeftCell="A13" workbookViewId="0">
      <selection activeCell="G43" sqref="G43"/>
    </sheetView>
  </sheetViews>
  <sheetFormatPr defaultRowHeight="12.75" x14ac:dyDescent="0.2"/>
  <cols>
    <col min="8" max="8" width="19.140625" customWidth="1"/>
    <col min="9" max="9" width="16.85546875" customWidth="1"/>
    <col min="10" max="10" width="5.28515625" customWidth="1"/>
    <col min="11" max="11" width="16" customWidth="1"/>
  </cols>
  <sheetData>
    <row r="3" spans="3:13" ht="18.75" x14ac:dyDescent="0.3">
      <c r="C3" s="5" t="s">
        <v>28</v>
      </c>
      <c r="I3" s="6">
        <f ca="1">NOW()</f>
        <v>36927.595744444443</v>
      </c>
      <c r="J3" s="6"/>
    </row>
    <row r="5" spans="3:13" x14ac:dyDescent="0.2">
      <c r="I5" s="12" t="s">
        <v>0</v>
      </c>
      <c r="J5" s="12"/>
      <c r="K5" s="12" t="s">
        <v>1</v>
      </c>
    </row>
    <row r="6" spans="3:13" ht="13.5" thickBot="1" x14ac:dyDescent="0.25">
      <c r="F6" s="19" t="s">
        <v>2</v>
      </c>
      <c r="G6" s="19" t="s">
        <v>3</v>
      </c>
      <c r="H6" s="19" t="s">
        <v>4</v>
      </c>
      <c r="I6" s="19" t="s">
        <v>5</v>
      </c>
      <c r="J6" s="19"/>
      <c r="K6" s="19" t="s">
        <v>6</v>
      </c>
    </row>
    <row r="7" spans="3:13" x14ac:dyDescent="0.2">
      <c r="C7" t="s">
        <v>7</v>
      </c>
      <c r="G7" s="23">
        <v>9.82</v>
      </c>
    </row>
    <row r="8" spans="3:13" x14ac:dyDescent="0.2">
      <c r="C8" t="s">
        <v>8</v>
      </c>
      <c r="G8" s="23">
        <v>0.27</v>
      </c>
    </row>
    <row r="9" spans="3:13" ht="13.5" thickBot="1" x14ac:dyDescent="0.25">
      <c r="C9" t="s">
        <v>9</v>
      </c>
      <c r="G9" s="8">
        <v>0.05</v>
      </c>
    </row>
    <row r="10" spans="3:13" x14ac:dyDescent="0.2">
      <c r="C10" t="s">
        <v>10</v>
      </c>
      <c r="F10" s="18">
        <f>+G42</f>
        <v>5332</v>
      </c>
      <c r="G10" s="7">
        <f>+G7+G8+G9</f>
        <v>10.14</v>
      </c>
      <c r="H10" s="11">
        <f>+I10</f>
        <v>-1676060.8800000001</v>
      </c>
      <c r="I10" s="4">
        <f>-G10*G42*31</f>
        <v>-1676060.8800000001</v>
      </c>
      <c r="J10" s="4"/>
    </row>
    <row r="11" spans="3:13" x14ac:dyDescent="0.2">
      <c r="G11" s="7"/>
      <c r="I11" s="4"/>
      <c r="J11" s="4"/>
    </row>
    <row r="12" spans="3:13" x14ac:dyDescent="0.2">
      <c r="C12" t="s">
        <v>11</v>
      </c>
      <c r="F12" s="2">
        <v>1.29E-2</v>
      </c>
      <c r="G12" s="9">
        <f>+F12*G10</f>
        <v>0.13080600000000001</v>
      </c>
      <c r="I12" s="4"/>
      <c r="J12" s="4"/>
    </row>
    <row r="13" spans="3:13" x14ac:dyDescent="0.2">
      <c r="C13" t="s">
        <v>12</v>
      </c>
      <c r="G13" s="9">
        <f>7.913/31</f>
        <v>0.25525806451612904</v>
      </c>
      <c r="I13" s="4">
        <f>-G13*G43*31</f>
        <v>-41543.25</v>
      </c>
      <c r="J13" s="4"/>
      <c r="K13" s="11">
        <f>-I13</f>
        <v>41543.25</v>
      </c>
    </row>
    <row r="14" spans="3:13" x14ac:dyDescent="0.2">
      <c r="C14" t="s">
        <v>13</v>
      </c>
      <c r="G14" s="10">
        <v>6.3E-3</v>
      </c>
      <c r="I14" s="4">
        <f>-G43*G14*31</f>
        <v>-1025.325</v>
      </c>
      <c r="J14" s="4"/>
      <c r="K14" s="11">
        <f>-I14</f>
        <v>1025.325</v>
      </c>
    </row>
    <row r="15" spans="3:13" x14ac:dyDescent="0.2">
      <c r="G15" s="7"/>
      <c r="I15" s="4"/>
      <c r="J15" s="4"/>
      <c r="M15" s="24">
        <f>15.1-10.15</f>
        <v>4.9499999999999993</v>
      </c>
    </row>
    <row r="16" spans="3:13" x14ac:dyDescent="0.2">
      <c r="C16" t="s">
        <v>14</v>
      </c>
      <c r="G16" s="7">
        <f>+G10+G12+G13+G14</f>
        <v>10.532364064516129</v>
      </c>
      <c r="I16" s="4"/>
      <c r="J16" s="4"/>
    </row>
    <row r="17" spans="3:11" x14ac:dyDescent="0.2">
      <c r="C17" t="s">
        <v>15</v>
      </c>
      <c r="G17" s="7">
        <f>+G16/0.95</f>
        <v>11.086699015280136</v>
      </c>
      <c r="I17" s="4"/>
      <c r="J17" s="4"/>
    </row>
    <row r="18" spans="3:11" x14ac:dyDescent="0.2">
      <c r="C18" t="s">
        <v>16</v>
      </c>
      <c r="G18" s="21">
        <v>0.35189999999999999</v>
      </c>
      <c r="I18" s="4">
        <f>-G18*G44*31</f>
        <v>-54544.5</v>
      </c>
      <c r="J18" s="4"/>
      <c r="K18" s="11">
        <f>-I18</f>
        <v>54544.5</v>
      </c>
    </row>
    <row r="19" spans="3:11" x14ac:dyDescent="0.2">
      <c r="C19" t="s">
        <v>17</v>
      </c>
      <c r="G19" s="21">
        <v>3.1800000000000002E-2</v>
      </c>
      <c r="I19" s="4">
        <f>-G19*G44*31</f>
        <v>-4929</v>
      </c>
      <c r="J19" s="4"/>
      <c r="K19" s="11">
        <f>-I19</f>
        <v>4929</v>
      </c>
    </row>
    <row r="20" spans="3:11" x14ac:dyDescent="0.2">
      <c r="G20" s="7"/>
    </row>
    <row r="21" spans="3:11" x14ac:dyDescent="0.2">
      <c r="G21" s="7"/>
    </row>
    <row r="22" spans="3:11" x14ac:dyDescent="0.2">
      <c r="G22" s="7"/>
    </row>
    <row r="23" spans="3:11" ht="13.5" thickBot="1" x14ac:dyDescent="0.25">
      <c r="C23" t="s">
        <v>18</v>
      </c>
      <c r="F23" s="18">
        <v>5000</v>
      </c>
      <c r="G23" s="23">
        <v>15.1</v>
      </c>
      <c r="H23" s="20">
        <f>+I23</f>
        <v>2340500</v>
      </c>
      <c r="I23" s="13">
        <f>+G23*G44*31</f>
        <v>2340500</v>
      </c>
      <c r="J23" s="14"/>
      <c r="K23" s="1"/>
    </row>
    <row r="25" spans="3:11" x14ac:dyDescent="0.2">
      <c r="C25" s="16" t="s">
        <v>19</v>
      </c>
      <c r="D25" s="16"/>
      <c r="E25" s="16"/>
      <c r="F25" s="16"/>
      <c r="G25" s="17"/>
      <c r="H25" s="11">
        <f>+H10+H23</f>
        <v>664439.11999999988</v>
      </c>
      <c r="I25" s="15">
        <f>SUM(I10:I23)</f>
        <v>562397.04499999993</v>
      </c>
      <c r="J25" s="15"/>
      <c r="K25" s="15">
        <f>SUM(K13:K23)</f>
        <v>102042.075</v>
      </c>
    </row>
    <row r="26" spans="3:11" ht="13.5" thickBot="1" x14ac:dyDescent="0.25"/>
    <row r="27" spans="3:11" ht="13.5" thickBot="1" x14ac:dyDescent="0.25">
      <c r="C27" t="s">
        <v>20</v>
      </c>
      <c r="H27" s="22">
        <f>+H25*0.08</f>
        <v>53155.129599999993</v>
      </c>
      <c r="I27" s="11"/>
      <c r="J27" s="11"/>
    </row>
    <row r="28" spans="3:11" x14ac:dyDescent="0.2">
      <c r="I28" s="16"/>
    </row>
    <row r="29" spans="3:11" x14ac:dyDescent="0.2">
      <c r="C29" t="s">
        <v>21</v>
      </c>
      <c r="H29" s="4">
        <f>+H25*0.92</f>
        <v>611283.99039999989</v>
      </c>
      <c r="I29" s="11"/>
      <c r="J29" s="11"/>
    </row>
    <row r="31" spans="3:11" x14ac:dyDescent="0.2">
      <c r="C31" t="s">
        <v>22</v>
      </c>
      <c r="I31" s="11">
        <f>+I33-I25</f>
        <v>-509241.91539999994</v>
      </c>
      <c r="J31" s="4"/>
      <c r="K31" s="11">
        <f>-I31</f>
        <v>509241.91539999994</v>
      </c>
    </row>
    <row r="32" spans="3:11" ht="13.5" thickBot="1" x14ac:dyDescent="0.25">
      <c r="H32" s="16"/>
      <c r="I32" s="14"/>
      <c r="J32" s="14"/>
      <c r="K32" s="16"/>
    </row>
    <row r="33" spans="3:11" ht="16.5" thickBot="1" x14ac:dyDescent="0.3">
      <c r="C33" s="27" t="s">
        <v>23</v>
      </c>
      <c r="D33" s="28"/>
      <c r="E33" s="28"/>
      <c r="F33" s="28"/>
      <c r="G33" s="28"/>
      <c r="H33" s="29">
        <f>+H25</f>
        <v>664439.11999999988</v>
      </c>
      <c r="I33" s="29">
        <f>+H27</f>
        <v>53155.129599999993</v>
      </c>
      <c r="J33" s="30"/>
      <c r="K33" s="31">
        <f>+H29</f>
        <v>611283.99039999989</v>
      </c>
    </row>
    <row r="34" spans="3:11" x14ac:dyDescent="0.2">
      <c r="I34" s="14"/>
      <c r="J34" s="14"/>
      <c r="K34" s="11"/>
    </row>
    <row r="35" spans="3:11" x14ac:dyDescent="0.2">
      <c r="I35" s="4"/>
      <c r="J35" s="4"/>
      <c r="K35" s="11"/>
    </row>
    <row r="42" spans="3:11" x14ac:dyDescent="0.2">
      <c r="C42" t="s">
        <v>24</v>
      </c>
      <c r="F42">
        <f>+(1-0.0129)</f>
        <v>0.98709999999999998</v>
      </c>
      <c r="G42" s="3">
        <v>5332</v>
      </c>
    </row>
    <row r="43" spans="3:11" x14ac:dyDescent="0.2">
      <c r="C43" t="s">
        <v>25</v>
      </c>
      <c r="G43" s="3">
        <f>+G44*1.05</f>
        <v>5250</v>
      </c>
    </row>
    <row r="44" spans="3:11" x14ac:dyDescent="0.2">
      <c r="C44" t="s">
        <v>26</v>
      </c>
      <c r="G44" s="3">
        <v>5000</v>
      </c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4"/>
  <sheetViews>
    <sheetView topLeftCell="A5" workbookViewId="0">
      <selection activeCell="G24" sqref="G24"/>
    </sheetView>
  </sheetViews>
  <sheetFormatPr defaultRowHeight="12.75" x14ac:dyDescent="0.2"/>
  <cols>
    <col min="8" max="8" width="19.140625" customWidth="1"/>
    <col min="9" max="9" width="16.85546875" customWidth="1"/>
    <col min="10" max="10" width="5.28515625" customWidth="1"/>
    <col min="11" max="11" width="16" customWidth="1"/>
  </cols>
  <sheetData>
    <row r="3" spans="3:11" ht="18.75" x14ac:dyDescent="0.3">
      <c r="C3" s="5" t="s">
        <v>29</v>
      </c>
      <c r="I3" s="6">
        <f ca="1">NOW()</f>
        <v>36927.595744444443</v>
      </c>
      <c r="J3" s="6"/>
    </row>
    <row r="5" spans="3:11" x14ac:dyDescent="0.2">
      <c r="I5" s="12" t="s">
        <v>0</v>
      </c>
      <c r="J5" s="12"/>
      <c r="K5" s="12" t="s">
        <v>1</v>
      </c>
    </row>
    <row r="6" spans="3:11" ht="13.5" thickBot="1" x14ac:dyDescent="0.25">
      <c r="F6" s="19" t="s">
        <v>2</v>
      </c>
      <c r="G6" s="19" t="s">
        <v>3</v>
      </c>
      <c r="H6" s="19" t="s">
        <v>4</v>
      </c>
      <c r="I6" s="19" t="s">
        <v>5</v>
      </c>
      <c r="J6" s="19"/>
      <c r="K6" s="19" t="s">
        <v>6</v>
      </c>
    </row>
    <row r="7" spans="3:11" x14ac:dyDescent="0.2">
      <c r="C7" t="s">
        <v>7</v>
      </c>
      <c r="G7" s="7">
        <v>9.57</v>
      </c>
    </row>
    <row r="8" spans="3:11" x14ac:dyDescent="0.2">
      <c r="C8" t="s">
        <v>8</v>
      </c>
      <c r="G8" s="7">
        <v>0.26</v>
      </c>
    </row>
    <row r="9" spans="3:11" ht="13.5" thickBot="1" x14ac:dyDescent="0.25">
      <c r="C9" t="s">
        <v>9</v>
      </c>
      <c r="G9" s="8">
        <v>0.05</v>
      </c>
    </row>
    <row r="10" spans="3:11" x14ac:dyDescent="0.2">
      <c r="C10" t="s">
        <v>10</v>
      </c>
      <c r="F10" s="18">
        <v>5332</v>
      </c>
      <c r="G10" s="7">
        <f>+G7+G8+G9</f>
        <v>9.8800000000000008</v>
      </c>
      <c r="H10" s="11">
        <f>+I10</f>
        <v>-1633084.9600000002</v>
      </c>
      <c r="I10" s="4">
        <f>-G10*G42*31</f>
        <v>-1633084.9600000002</v>
      </c>
      <c r="J10" s="4"/>
    </row>
    <row r="11" spans="3:11" x14ac:dyDescent="0.2">
      <c r="G11" s="7"/>
      <c r="I11" s="4"/>
      <c r="J11" s="4"/>
    </row>
    <row r="12" spans="3:11" x14ac:dyDescent="0.2">
      <c r="C12" t="s">
        <v>11</v>
      </c>
      <c r="F12" s="2">
        <v>1.29E-2</v>
      </c>
      <c r="G12" s="9">
        <f>+F12*G10</f>
        <v>0.12745200000000001</v>
      </c>
      <c r="I12" s="4"/>
      <c r="J12" s="4"/>
    </row>
    <row r="13" spans="3:11" x14ac:dyDescent="0.2">
      <c r="C13" t="s">
        <v>12</v>
      </c>
      <c r="G13" s="9">
        <f>7.913/31</f>
        <v>0.25525806451612904</v>
      </c>
      <c r="I13" s="4">
        <f>-G13*G43*31</f>
        <v>-41543.25</v>
      </c>
      <c r="J13" s="4"/>
      <c r="K13" s="11">
        <f>-I13</f>
        <v>41543.25</v>
      </c>
    </row>
    <row r="14" spans="3:11" x14ac:dyDescent="0.2">
      <c r="C14" t="s">
        <v>13</v>
      </c>
      <c r="G14" s="10">
        <v>6.0000000000000001E-3</v>
      </c>
      <c r="I14" s="4">
        <f>-G43*G14*31</f>
        <v>-976.5</v>
      </c>
      <c r="J14" s="4"/>
      <c r="K14" s="11">
        <f>-I14</f>
        <v>976.5</v>
      </c>
    </row>
    <row r="15" spans="3:11" x14ac:dyDescent="0.2">
      <c r="G15" s="7"/>
      <c r="I15" s="4"/>
      <c r="J15" s="4"/>
    </row>
    <row r="16" spans="3:11" x14ac:dyDescent="0.2">
      <c r="C16" t="s">
        <v>14</v>
      </c>
      <c r="G16" s="7">
        <f>+G10+G12+G13+G14</f>
        <v>10.26871006451613</v>
      </c>
      <c r="I16" s="4"/>
      <c r="J16" s="4"/>
    </row>
    <row r="17" spans="3:13" x14ac:dyDescent="0.2">
      <c r="C17" t="s">
        <v>15</v>
      </c>
      <c r="G17" s="7">
        <f>+G16/0.95</f>
        <v>10.809168488964348</v>
      </c>
      <c r="I17" s="4"/>
      <c r="J17" s="4"/>
      <c r="M17">
        <f>15.58-10.01</f>
        <v>5.57</v>
      </c>
    </row>
    <row r="18" spans="3:13" x14ac:dyDescent="0.2">
      <c r="C18" t="s">
        <v>16</v>
      </c>
      <c r="G18" s="21">
        <v>0.35189999999999999</v>
      </c>
      <c r="I18" s="4">
        <f>-G18*G44*31</f>
        <v>-54544.5</v>
      </c>
      <c r="J18" s="4"/>
      <c r="K18" s="11">
        <f>-I18</f>
        <v>54544.5</v>
      </c>
    </row>
    <row r="19" spans="3:13" x14ac:dyDescent="0.2">
      <c r="C19" t="s">
        <v>17</v>
      </c>
      <c r="G19" s="21">
        <v>3.1800000000000002E-2</v>
      </c>
      <c r="I19" s="4">
        <f>-G19*G44*31</f>
        <v>-4929</v>
      </c>
      <c r="J19" s="4"/>
      <c r="K19" s="11">
        <f>-I19</f>
        <v>4929</v>
      </c>
    </row>
    <row r="20" spans="3:13" x14ac:dyDescent="0.2">
      <c r="G20" s="7"/>
    </row>
    <row r="21" spans="3:13" x14ac:dyDescent="0.2">
      <c r="G21" s="7"/>
    </row>
    <row r="22" spans="3:13" x14ac:dyDescent="0.2">
      <c r="G22" s="7"/>
    </row>
    <row r="23" spans="3:13" ht="13.5" thickBot="1" x14ac:dyDescent="0.25">
      <c r="C23" t="s">
        <v>18</v>
      </c>
      <c r="F23" s="18">
        <v>5000</v>
      </c>
      <c r="G23" s="7">
        <v>15.5</v>
      </c>
      <c r="H23" s="20">
        <f>+I23</f>
        <v>2402500</v>
      </c>
      <c r="I23" s="13">
        <f>+G23*G44*31</f>
        <v>2402500</v>
      </c>
      <c r="J23" s="14"/>
      <c r="K23" s="1"/>
    </row>
    <row r="25" spans="3:13" x14ac:dyDescent="0.2">
      <c r="C25" s="16" t="s">
        <v>19</v>
      </c>
      <c r="D25" s="16"/>
      <c r="E25" s="16"/>
      <c r="F25" s="16"/>
      <c r="G25" s="17"/>
      <c r="H25" s="11">
        <f>+H10+H23</f>
        <v>769415.0399999998</v>
      </c>
      <c r="I25" s="15">
        <f>SUM(I10:I23)</f>
        <v>667421.7899999998</v>
      </c>
      <c r="J25" s="15"/>
      <c r="K25" s="15">
        <f>SUM(K13:K23)</f>
        <v>101993.25</v>
      </c>
    </row>
    <row r="26" spans="3:13" ht="13.5" thickBot="1" x14ac:dyDescent="0.25"/>
    <row r="27" spans="3:13" ht="13.5" thickBot="1" x14ac:dyDescent="0.25">
      <c r="C27" t="s">
        <v>20</v>
      </c>
      <c r="H27" s="22">
        <f>+H25*0.08</f>
        <v>61553.203199999989</v>
      </c>
      <c r="I27" s="11"/>
      <c r="J27" s="11"/>
    </row>
    <row r="28" spans="3:13" x14ac:dyDescent="0.2">
      <c r="I28" s="16"/>
    </row>
    <row r="29" spans="3:13" x14ac:dyDescent="0.2">
      <c r="C29" t="s">
        <v>21</v>
      </c>
      <c r="H29" s="4">
        <f>+H25*0.92</f>
        <v>707861.83679999982</v>
      </c>
      <c r="I29" s="11"/>
      <c r="J29" s="11"/>
    </row>
    <row r="31" spans="3:13" x14ac:dyDescent="0.2">
      <c r="C31" t="s">
        <v>22</v>
      </c>
      <c r="I31" s="11">
        <f>+I33-I25</f>
        <v>-605868.58679999982</v>
      </c>
      <c r="J31" s="4"/>
      <c r="K31" s="11">
        <f>-I31</f>
        <v>605868.58679999982</v>
      </c>
    </row>
    <row r="32" spans="3:13" ht="13.5" thickBot="1" x14ac:dyDescent="0.25">
      <c r="H32" s="16"/>
      <c r="I32" s="14"/>
      <c r="J32" s="14"/>
      <c r="K32" s="16"/>
    </row>
    <row r="33" spans="3:11" ht="16.5" thickBot="1" x14ac:dyDescent="0.3">
      <c r="C33" s="27" t="s">
        <v>23</v>
      </c>
      <c r="D33" s="28"/>
      <c r="E33" s="28"/>
      <c r="F33" s="28"/>
      <c r="G33" s="28"/>
      <c r="H33" s="29">
        <f>+H25</f>
        <v>769415.0399999998</v>
      </c>
      <c r="I33" s="29">
        <f>+H27</f>
        <v>61553.203199999989</v>
      </c>
      <c r="J33" s="30"/>
      <c r="K33" s="31">
        <f>+H29</f>
        <v>707861.83679999982</v>
      </c>
    </row>
    <row r="34" spans="3:11" x14ac:dyDescent="0.2">
      <c r="I34" s="14"/>
      <c r="J34" s="14"/>
      <c r="K34" s="11"/>
    </row>
    <row r="35" spans="3:11" x14ac:dyDescent="0.2">
      <c r="I35" s="4"/>
      <c r="J35" s="4"/>
      <c r="K35" s="11"/>
    </row>
    <row r="42" spans="3:11" x14ac:dyDescent="0.2">
      <c r="C42" t="s">
        <v>24</v>
      </c>
      <c r="F42">
        <f>+(1-0.0129)</f>
        <v>0.98709999999999998</v>
      </c>
      <c r="G42" s="3">
        <v>5332</v>
      </c>
    </row>
    <row r="43" spans="3:11" x14ac:dyDescent="0.2">
      <c r="C43" t="s">
        <v>25</v>
      </c>
      <c r="G43" s="3">
        <f>+G44*1.05</f>
        <v>5250</v>
      </c>
    </row>
    <row r="44" spans="3:11" x14ac:dyDescent="0.2">
      <c r="C44" t="s">
        <v>26</v>
      </c>
      <c r="G44" s="3">
        <v>5000</v>
      </c>
    </row>
  </sheetData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71"/>
  <sheetViews>
    <sheetView topLeftCell="A3" workbookViewId="0">
      <selection activeCell="G8" sqref="G8"/>
    </sheetView>
  </sheetViews>
  <sheetFormatPr defaultRowHeight="12.75" x14ac:dyDescent="0.2"/>
  <cols>
    <col min="3" max="3" width="13.5703125" customWidth="1"/>
    <col min="4" max="4" width="11.140625" customWidth="1"/>
    <col min="5" max="5" width="13" customWidth="1"/>
    <col min="8" max="8" width="19.140625" customWidth="1"/>
    <col min="9" max="9" width="16.85546875" customWidth="1"/>
    <col min="10" max="10" width="5.28515625" customWidth="1"/>
    <col min="11" max="11" width="16" customWidth="1"/>
  </cols>
  <sheetData>
    <row r="3" spans="3:11" ht="18.75" x14ac:dyDescent="0.3">
      <c r="C3" s="5" t="s">
        <v>30</v>
      </c>
      <c r="I3" s="6">
        <f ca="1">NOW()</f>
        <v>36927.595744444443</v>
      </c>
      <c r="J3" s="6"/>
    </row>
    <row r="4" spans="3:11" x14ac:dyDescent="0.2">
      <c r="C4" s="26" t="s">
        <v>31</v>
      </c>
    </row>
    <row r="5" spans="3:11" x14ac:dyDescent="0.2">
      <c r="I5" s="12" t="s">
        <v>0</v>
      </c>
      <c r="J5" s="12"/>
      <c r="K5" s="12" t="s">
        <v>1</v>
      </c>
    </row>
    <row r="6" spans="3:11" ht="13.5" thickBot="1" x14ac:dyDescent="0.25">
      <c r="F6" s="19" t="s">
        <v>2</v>
      </c>
      <c r="G6" s="19" t="s">
        <v>3</v>
      </c>
      <c r="H6" s="19" t="s">
        <v>4</v>
      </c>
      <c r="I6" s="19" t="s">
        <v>5</v>
      </c>
      <c r="J6" s="19"/>
      <c r="K6" s="19" t="s">
        <v>5</v>
      </c>
    </row>
    <row r="7" spans="3:11" x14ac:dyDescent="0.2">
      <c r="C7" t="s">
        <v>32</v>
      </c>
      <c r="F7" s="18">
        <f>+G34</f>
        <v>5332</v>
      </c>
      <c r="G7" s="7">
        <f>8.21+0.05</f>
        <v>8.2600000000000016</v>
      </c>
      <c r="H7" s="11">
        <f>+I7</f>
        <v>-1365311.9200000002</v>
      </c>
      <c r="I7" s="4">
        <f>-G7*G34*31</f>
        <v>-1365311.9200000002</v>
      </c>
      <c r="J7" s="4"/>
    </row>
    <row r="8" spans="3:11" x14ac:dyDescent="0.2">
      <c r="C8" t="s">
        <v>33</v>
      </c>
      <c r="F8" s="18"/>
      <c r="G8" s="7"/>
      <c r="H8" s="11"/>
      <c r="I8" s="4"/>
      <c r="J8" s="4"/>
    </row>
    <row r="9" spans="3:11" x14ac:dyDescent="0.2">
      <c r="G9" s="7"/>
      <c r="I9" s="4"/>
      <c r="J9" s="4"/>
    </row>
    <row r="10" spans="3:11" x14ac:dyDescent="0.2">
      <c r="C10" t="s">
        <v>11</v>
      </c>
      <c r="F10" s="2">
        <v>1.29E-2</v>
      </c>
      <c r="G10" s="9">
        <f>+F10*G7</f>
        <v>0.10655400000000002</v>
      </c>
      <c r="I10" s="4"/>
      <c r="J10" s="4"/>
    </row>
    <row r="11" spans="3:11" x14ac:dyDescent="0.2">
      <c r="C11" t="s">
        <v>12</v>
      </c>
      <c r="G11" s="9">
        <f>7.913/31</f>
        <v>0.25525806451612904</v>
      </c>
      <c r="I11" s="4">
        <f>-G11*G35*31</f>
        <v>-41543.25</v>
      </c>
      <c r="J11" s="4"/>
      <c r="K11" s="11">
        <f>-I11</f>
        <v>41543.25</v>
      </c>
    </row>
    <row r="12" spans="3:11" x14ac:dyDescent="0.2">
      <c r="C12" t="s">
        <v>13</v>
      </c>
      <c r="G12" s="10">
        <v>6.0000000000000001E-3</v>
      </c>
      <c r="I12" s="4">
        <f>-G35*G12*31</f>
        <v>-976.5</v>
      </c>
      <c r="J12" s="4"/>
      <c r="K12" s="11">
        <f>-I12</f>
        <v>976.5</v>
      </c>
    </row>
    <row r="13" spans="3:11" x14ac:dyDescent="0.2">
      <c r="G13" s="7"/>
      <c r="I13" s="4"/>
      <c r="J13" s="4"/>
    </row>
    <row r="14" spans="3:11" x14ac:dyDescent="0.2">
      <c r="C14" t="s">
        <v>14</v>
      </c>
      <c r="G14" s="7">
        <f>+G7+G10+G11+G12</f>
        <v>8.6278120645161298</v>
      </c>
      <c r="I14" s="4"/>
      <c r="J14" s="4"/>
    </row>
    <row r="15" spans="3:11" x14ac:dyDescent="0.2">
      <c r="C15" t="s">
        <v>15</v>
      </c>
      <c r="G15" s="7">
        <f>+G14/0.95</f>
        <v>9.0819074363327683</v>
      </c>
      <c r="I15" s="4"/>
      <c r="J15" s="4"/>
    </row>
    <row r="16" spans="3:11" x14ac:dyDescent="0.2">
      <c r="C16" t="s">
        <v>16</v>
      </c>
      <c r="G16" s="21">
        <v>0.35189999999999999</v>
      </c>
      <c r="I16" s="4">
        <f>-G16*G36*31</f>
        <v>-54544.5</v>
      </c>
      <c r="J16" s="4"/>
      <c r="K16" s="11">
        <f>-I16</f>
        <v>54544.5</v>
      </c>
    </row>
    <row r="17" spans="3:11" x14ac:dyDescent="0.2">
      <c r="C17" t="s">
        <v>17</v>
      </c>
      <c r="G17" s="21">
        <v>3.1800000000000002E-2</v>
      </c>
      <c r="I17" s="4">
        <f>-G17*G36*31</f>
        <v>-4929</v>
      </c>
      <c r="J17" s="4"/>
      <c r="K17" s="11">
        <f>-I17</f>
        <v>4929</v>
      </c>
    </row>
    <row r="18" spans="3:11" x14ac:dyDescent="0.2">
      <c r="G18" s="7"/>
    </row>
    <row r="19" spans="3:11" x14ac:dyDescent="0.2">
      <c r="G19" s="7"/>
    </row>
    <row r="20" spans="3:11" x14ac:dyDescent="0.2">
      <c r="G20" s="7"/>
    </row>
    <row r="21" spans="3:11" ht="13.5" thickBot="1" x14ac:dyDescent="0.25">
      <c r="C21" t="s">
        <v>18</v>
      </c>
      <c r="F21" s="18">
        <v>5000</v>
      </c>
      <c r="G21" s="7">
        <v>10.795</v>
      </c>
      <c r="H21" s="20">
        <f>+I21</f>
        <v>1673225</v>
      </c>
      <c r="I21" s="13">
        <f>+G21*G36*31</f>
        <v>1673225</v>
      </c>
      <c r="J21" s="14"/>
      <c r="K21" s="1"/>
    </row>
    <row r="23" spans="3:11" x14ac:dyDescent="0.2">
      <c r="C23" s="16" t="s">
        <v>19</v>
      </c>
      <c r="D23" s="16"/>
      <c r="E23" s="16"/>
      <c r="F23" s="16"/>
      <c r="G23" s="17"/>
      <c r="H23" s="11">
        <f>+H7+H21</f>
        <v>307913.07999999984</v>
      </c>
      <c r="I23" s="15">
        <f>SUM(I7:I21)</f>
        <v>205919.82999999984</v>
      </c>
      <c r="J23" s="15"/>
      <c r="K23" s="15">
        <f>SUM(K11:K21)</f>
        <v>101993.25</v>
      </c>
    </row>
    <row r="24" spans="3:11" ht="13.5" thickBot="1" x14ac:dyDescent="0.25"/>
    <row r="25" spans="3:11" ht="13.5" thickBot="1" x14ac:dyDescent="0.25">
      <c r="C25" t="s">
        <v>20</v>
      </c>
      <c r="H25" s="22">
        <f>+H23*0.08</f>
        <v>24633.046399999988</v>
      </c>
      <c r="I25" s="11"/>
      <c r="J25" s="11"/>
    </row>
    <row r="26" spans="3:11" x14ac:dyDescent="0.2">
      <c r="I26" s="16"/>
    </row>
    <row r="27" spans="3:11" x14ac:dyDescent="0.2">
      <c r="C27" t="s">
        <v>21</v>
      </c>
      <c r="H27" s="4">
        <f>+H23*0.92</f>
        <v>283280.03359999985</v>
      </c>
      <c r="I27" s="11"/>
      <c r="J27" s="11"/>
    </row>
    <row r="29" spans="3:11" x14ac:dyDescent="0.2">
      <c r="C29" t="s">
        <v>22</v>
      </c>
      <c r="I29" s="11">
        <f>+I31-I23</f>
        <v>-181286.78359999985</v>
      </c>
      <c r="J29" s="4"/>
      <c r="K29" s="11">
        <f>-I29</f>
        <v>181286.78359999985</v>
      </c>
    </row>
    <row r="30" spans="3:11" ht="13.5" thickBot="1" x14ac:dyDescent="0.25">
      <c r="H30" s="16"/>
      <c r="I30" s="14"/>
      <c r="J30" s="14"/>
      <c r="K30" s="16"/>
    </row>
    <row r="31" spans="3:11" ht="16.5" thickBot="1" x14ac:dyDescent="0.3">
      <c r="C31" s="27" t="s">
        <v>23</v>
      </c>
      <c r="D31" s="28"/>
      <c r="E31" s="28"/>
      <c r="F31" s="28"/>
      <c r="G31" s="28"/>
      <c r="H31" s="29">
        <f>+H23</f>
        <v>307913.07999999984</v>
      </c>
      <c r="I31" s="29">
        <f>+H25</f>
        <v>24633.046399999988</v>
      </c>
      <c r="J31" s="30"/>
      <c r="K31" s="31">
        <f>+H27</f>
        <v>283280.03359999985</v>
      </c>
    </row>
    <row r="32" spans="3:11" x14ac:dyDescent="0.2">
      <c r="I32" s="14"/>
      <c r="J32" s="14"/>
      <c r="K32" s="11"/>
    </row>
    <row r="33" spans="3:11" x14ac:dyDescent="0.2">
      <c r="I33" s="4"/>
      <c r="J33" s="4"/>
      <c r="K33" s="11"/>
    </row>
    <row r="34" spans="3:11" x14ac:dyDescent="0.2">
      <c r="C34" t="s">
        <v>24</v>
      </c>
      <c r="F34">
        <f>+(1-0.0129)</f>
        <v>0.98709999999999998</v>
      </c>
      <c r="G34" s="3">
        <v>5332</v>
      </c>
    </row>
    <row r="35" spans="3:11" x14ac:dyDescent="0.2">
      <c r="C35" t="s">
        <v>25</v>
      </c>
      <c r="G35" s="3">
        <f>+G36*1.05</f>
        <v>5250</v>
      </c>
    </row>
    <row r="36" spans="3:11" x14ac:dyDescent="0.2">
      <c r="C36" t="s">
        <v>26</v>
      </c>
      <c r="G36" s="3">
        <v>5000</v>
      </c>
    </row>
    <row r="37" spans="3:11" ht="13.5" thickBot="1" x14ac:dyDescent="0.25">
      <c r="G37" s="3"/>
    </row>
    <row r="38" spans="3:11" x14ac:dyDescent="0.2">
      <c r="C38" s="32" t="s">
        <v>44</v>
      </c>
      <c r="D38" s="33"/>
      <c r="E38" s="34" t="s">
        <v>46</v>
      </c>
    </row>
    <row r="39" spans="3:11" x14ac:dyDescent="0.2">
      <c r="C39" s="35"/>
      <c r="D39" s="36" t="s">
        <v>45</v>
      </c>
      <c r="E39" s="37" t="s">
        <v>47</v>
      </c>
    </row>
    <row r="40" spans="3:11" x14ac:dyDescent="0.2">
      <c r="C40" s="44">
        <v>36892</v>
      </c>
      <c r="D40" s="14">
        <v>8</v>
      </c>
      <c r="E40" s="39">
        <v>9</v>
      </c>
    </row>
    <row r="41" spans="3:11" x14ac:dyDescent="0.2">
      <c r="C41" s="44">
        <v>36893</v>
      </c>
      <c r="D41" s="14">
        <v>8</v>
      </c>
      <c r="E41" s="39">
        <v>9</v>
      </c>
    </row>
    <row r="42" spans="3:11" x14ac:dyDescent="0.2">
      <c r="C42" s="44">
        <v>36894</v>
      </c>
      <c r="D42" s="14">
        <v>8</v>
      </c>
      <c r="E42" s="39">
        <v>9</v>
      </c>
    </row>
    <row r="43" spans="3:11" x14ac:dyDescent="0.2">
      <c r="C43" s="44">
        <v>36895</v>
      </c>
      <c r="D43" s="14">
        <v>8</v>
      </c>
      <c r="E43" s="39">
        <v>9</v>
      </c>
    </row>
    <row r="44" spans="3:11" x14ac:dyDescent="0.2">
      <c r="C44" s="44">
        <v>36896</v>
      </c>
      <c r="D44" s="14">
        <v>8</v>
      </c>
      <c r="E44" s="39">
        <v>9</v>
      </c>
    </row>
    <row r="45" spans="3:11" x14ac:dyDescent="0.2">
      <c r="C45" s="44">
        <v>36897</v>
      </c>
      <c r="D45" s="14">
        <v>8</v>
      </c>
      <c r="E45" s="39">
        <v>9</v>
      </c>
    </row>
    <row r="46" spans="3:11" x14ac:dyDescent="0.2">
      <c r="C46" s="44">
        <v>36898</v>
      </c>
      <c r="D46" s="14">
        <v>8</v>
      </c>
      <c r="E46" s="39">
        <v>9</v>
      </c>
    </row>
    <row r="47" spans="3:11" x14ac:dyDescent="0.2">
      <c r="C47" s="44">
        <v>36899</v>
      </c>
      <c r="D47" s="14">
        <v>8</v>
      </c>
      <c r="E47" s="39">
        <v>9</v>
      </c>
    </row>
    <row r="48" spans="3:11" x14ac:dyDescent="0.2">
      <c r="C48" s="44">
        <v>36900</v>
      </c>
      <c r="D48" s="14">
        <v>8</v>
      </c>
      <c r="E48" s="39">
        <v>9</v>
      </c>
    </row>
    <row r="49" spans="3:5" x14ac:dyDescent="0.2">
      <c r="C49" s="44">
        <v>36901</v>
      </c>
      <c r="D49" s="14">
        <v>8</v>
      </c>
      <c r="E49" s="39">
        <v>9</v>
      </c>
    </row>
    <row r="50" spans="3:5" x14ac:dyDescent="0.2">
      <c r="C50" s="44">
        <v>36902</v>
      </c>
      <c r="D50" s="14">
        <v>8</v>
      </c>
      <c r="E50" s="39">
        <v>9</v>
      </c>
    </row>
    <row r="51" spans="3:5" x14ac:dyDescent="0.2">
      <c r="C51" s="44">
        <v>36903</v>
      </c>
      <c r="D51" s="14">
        <v>8</v>
      </c>
      <c r="E51" s="39">
        <v>9</v>
      </c>
    </row>
    <row r="52" spans="3:5" x14ac:dyDescent="0.2">
      <c r="C52" s="44">
        <v>36904</v>
      </c>
      <c r="D52" s="14">
        <v>8</v>
      </c>
      <c r="E52" s="39">
        <v>9</v>
      </c>
    </row>
    <row r="53" spans="3:5" x14ac:dyDescent="0.2">
      <c r="C53" s="44">
        <v>36905</v>
      </c>
      <c r="D53" s="14">
        <v>8</v>
      </c>
      <c r="E53" s="39">
        <v>9</v>
      </c>
    </row>
    <row r="54" spans="3:5" x14ac:dyDescent="0.2">
      <c r="C54" s="44">
        <v>36906</v>
      </c>
      <c r="D54" s="14">
        <v>8</v>
      </c>
      <c r="E54" s="39">
        <v>9</v>
      </c>
    </row>
    <row r="55" spans="3:5" x14ac:dyDescent="0.2">
      <c r="C55" s="44">
        <v>36907</v>
      </c>
      <c r="D55" s="14">
        <v>8</v>
      </c>
      <c r="E55" s="39">
        <v>9</v>
      </c>
    </row>
    <row r="56" spans="3:5" x14ac:dyDescent="0.2">
      <c r="C56" s="44">
        <v>36908</v>
      </c>
      <c r="D56" s="14">
        <v>8</v>
      </c>
      <c r="E56" s="39">
        <v>9</v>
      </c>
    </row>
    <row r="57" spans="3:5" x14ac:dyDescent="0.2">
      <c r="C57" s="44">
        <v>36909</v>
      </c>
      <c r="D57" s="14">
        <v>8</v>
      </c>
      <c r="E57" s="39">
        <v>9</v>
      </c>
    </row>
    <row r="58" spans="3:5" x14ac:dyDescent="0.2">
      <c r="C58" s="44">
        <v>36910</v>
      </c>
      <c r="D58" s="14">
        <v>8</v>
      </c>
      <c r="E58" s="39">
        <v>9</v>
      </c>
    </row>
    <row r="59" spans="3:5" x14ac:dyDescent="0.2">
      <c r="C59" s="44">
        <v>36911</v>
      </c>
      <c r="D59" s="14">
        <v>8</v>
      </c>
      <c r="E59" s="39">
        <v>9</v>
      </c>
    </row>
    <row r="60" spans="3:5" x14ac:dyDescent="0.2">
      <c r="C60" s="44">
        <v>36912</v>
      </c>
      <c r="D60" s="14">
        <v>8</v>
      </c>
      <c r="E60" s="39">
        <v>9</v>
      </c>
    </row>
    <row r="61" spans="3:5" x14ac:dyDescent="0.2">
      <c r="C61" s="44">
        <v>36913</v>
      </c>
      <c r="D61" s="14">
        <v>8</v>
      </c>
      <c r="E61" s="39">
        <v>9</v>
      </c>
    </row>
    <row r="62" spans="3:5" x14ac:dyDescent="0.2">
      <c r="C62" s="44">
        <v>36914</v>
      </c>
      <c r="D62" s="14">
        <v>8</v>
      </c>
      <c r="E62" s="39">
        <v>9</v>
      </c>
    </row>
    <row r="63" spans="3:5" x14ac:dyDescent="0.2">
      <c r="C63" s="44">
        <v>36915</v>
      </c>
      <c r="D63" s="14">
        <v>8</v>
      </c>
      <c r="E63" s="39">
        <v>9</v>
      </c>
    </row>
    <row r="64" spans="3:5" x14ac:dyDescent="0.2">
      <c r="C64" s="44">
        <v>36916</v>
      </c>
      <c r="D64" s="14">
        <v>8</v>
      </c>
      <c r="E64" s="39">
        <v>9</v>
      </c>
    </row>
    <row r="65" spans="3:5" x14ac:dyDescent="0.2">
      <c r="C65" s="44">
        <v>36917</v>
      </c>
      <c r="D65" s="14">
        <v>8</v>
      </c>
      <c r="E65" s="39">
        <v>9</v>
      </c>
    </row>
    <row r="66" spans="3:5" x14ac:dyDescent="0.2">
      <c r="C66" s="44">
        <v>36918</v>
      </c>
      <c r="D66" s="14">
        <v>8</v>
      </c>
      <c r="E66" s="39">
        <v>9</v>
      </c>
    </row>
    <row r="67" spans="3:5" x14ac:dyDescent="0.2">
      <c r="C67" s="44">
        <v>36919</v>
      </c>
      <c r="D67" s="14">
        <v>8</v>
      </c>
      <c r="E67" s="39">
        <v>9</v>
      </c>
    </row>
    <row r="68" spans="3:5" x14ac:dyDescent="0.2">
      <c r="C68" s="44">
        <v>36920</v>
      </c>
      <c r="D68" s="14">
        <v>8</v>
      </c>
      <c r="E68" s="39">
        <v>9</v>
      </c>
    </row>
    <row r="69" spans="3:5" x14ac:dyDescent="0.2">
      <c r="C69" s="44">
        <v>36921</v>
      </c>
      <c r="D69" s="14">
        <v>8</v>
      </c>
      <c r="E69" s="39">
        <v>9</v>
      </c>
    </row>
    <row r="70" spans="3:5" ht="13.5" thickBot="1" x14ac:dyDescent="0.25">
      <c r="C70" s="44">
        <v>36922</v>
      </c>
      <c r="D70" s="13">
        <v>8</v>
      </c>
      <c r="E70" s="40">
        <v>9</v>
      </c>
    </row>
    <row r="71" spans="3:5" ht="13.5" thickBot="1" x14ac:dyDescent="0.25">
      <c r="C71" s="38"/>
      <c r="D71" s="41">
        <f>AVERAGE(D40:D70)</f>
        <v>8</v>
      </c>
      <c r="E71" s="42">
        <f>AVERAGE(E40:E70)</f>
        <v>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4"/>
  <sheetViews>
    <sheetView topLeftCell="A5" workbookViewId="0">
      <selection activeCell="G24" sqref="G24"/>
    </sheetView>
  </sheetViews>
  <sheetFormatPr defaultRowHeight="12.75" x14ac:dyDescent="0.2"/>
  <cols>
    <col min="5" max="5" width="19.42578125" customWidth="1"/>
    <col min="8" max="8" width="19.140625" customWidth="1"/>
    <col min="9" max="9" width="16.85546875" customWidth="1"/>
    <col min="10" max="10" width="5.28515625" customWidth="1"/>
    <col min="11" max="11" width="20" customWidth="1"/>
  </cols>
  <sheetData>
    <row r="3" spans="3:11" ht="18.75" x14ac:dyDescent="0.3">
      <c r="C3" s="5" t="s">
        <v>49</v>
      </c>
      <c r="I3" s="6">
        <f ca="1">NOW()</f>
        <v>36927.595744444443</v>
      </c>
      <c r="J3" s="6"/>
    </row>
    <row r="5" spans="3:11" x14ac:dyDescent="0.2">
      <c r="I5" s="12" t="s">
        <v>0</v>
      </c>
      <c r="J5" s="12"/>
      <c r="K5" s="12" t="s">
        <v>1</v>
      </c>
    </row>
    <row r="6" spans="3:11" ht="13.5" thickBot="1" x14ac:dyDescent="0.25">
      <c r="F6" s="19" t="s">
        <v>2</v>
      </c>
      <c r="G6" s="19" t="s">
        <v>3</v>
      </c>
      <c r="H6" s="19" t="s">
        <v>4</v>
      </c>
      <c r="I6" s="19" t="s">
        <v>5</v>
      </c>
      <c r="J6" s="19"/>
      <c r="K6" s="19" t="s">
        <v>6</v>
      </c>
    </row>
    <row r="7" spans="3:11" x14ac:dyDescent="0.2">
      <c r="C7" t="s">
        <v>50</v>
      </c>
      <c r="G7" s="7">
        <v>6.2930000000000001</v>
      </c>
    </row>
    <row r="8" spans="3:11" x14ac:dyDescent="0.2">
      <c r="C8" t="s">
        <v>51</v>
      </c>
      <c r="G8" s="7">
        <v>-3.5000000000000003E-2</v>
      </c>
    </row>
    <row r="9" spans="3:11" ht="13.5" thickBot="1" x14ac:dyDescent="0.25">
      <c r="C9" t="s">
        <v>9</v>
      </c>
      <c r="G9" s="8">
        <v>0.02</v>
      </c>
    </row>
    <row r="10" spans="3:11" x14ac:dyDescent="0.2">
      <c r="C10" t="s">
        <v>10</v>
      </c>
      <c r="F10" s="18">
        <v>10664</v>
      </c>
      <c r="G10" s="7">
        <f>+G7+G8+G9</f>
        <v>6.2779999999999996</v>
      </c>
      <c r="H10" s="11">
        <f>+I10</f>
        <v>-1874560.5759999997</v>
      </c>
      <c r="I10" s="4">
        <f>-G10*G42*28</f>
        <v>-1874560.5759999997</v>
      </c>
      <c r="J10" s="4"/>
    </row>
    <row r="11" spans="3:11" x14ac:dyDescent="0.2">
      <c r="G11" s="7"/>
      <c r="I11" s="4"/>
      <c r="J11" s="4"/>
    </row>
    <row r="12" spans="3:11" x14ac:dyDescent="0.2">
      <c r="C12" t="s">
        <v>11</v>
      </c>
      <c r="F12" s="2">
        <v>1.29E-2</v>
      </c>
      <c r="G12" s="9">
        <f>+F12*G10</f>
        <v>8.0986199999999994E-2</v>
      </c>
      <c r="I12" s="4"/>
      <c r="J12" s="4"/>
    </row>
    <row r="13" spans="3:11" x14ac:dyDescent="0.2">
      <c r="C13" t="s">
        <v>12</v>
      </c>
      <c r="G13" s="9">
        <f>7.913/31</f>
        <v>0.25525806451612904</v>
      </c>
      <c r="I13" s="4">
        <f>-G13*G43*28</f>
        <v>-75045.870967741925</v>
      </c>
      <c r="J13" s="4"/>
      <c r="K13" s="11">
        <f>-I13</f>
        <v>75045.870967741925</v>
      </c>
    </row>
    <row r="14" spans="3:11" x14ac:dyDescent="0.2">
      <c r="C14" t="s">
        <v>13</v>
      </c>
      <c r="G14" s="10">
        <v>0.01</v>
      </c>
      <c r="I14" s="4">
        <f>-G43*G14*28</f>
        <v>-2940</v>
      </c>
      <c r="J14" s="4"/>
      <c r="K14" s="11">
        <f>-I14</f>
        <v>2940</v>
      </c>
    </row>
    <row r="15" spans="3:11" x14ac:dyDescent="0.2">
      <c r="G15" s="7"/>
      <c r="I15" s="4"/>
      <c r="J15" s="4"/>
    </row>
    <row r="16" spans="3:11" x14ac:dyDescent="0.2">
      <c r="C16" t="s">
        <v>14</v>
      </c>
      <c r="G16" s="7">
        <f>+G10+G12+G13+G14</f>
        <v>6.6242442645161281</v>
      </c>
      <c r="I16" s="4"/>
      <c r="J16" s="4"/>
    </row>
    <row r="17" spans="3:13" x14ac:dyDescent="0.2">
      <c r="C17" t="s">
        <v>15</v>
      </c>
      <c r="G17" s="7">
        <f>+G16/0.95</f>
        <v>6.9728886994906611</v>
      </c>
      <c r="I17" s="4"/>
      <c r="J17" s="4"/>
      <c r="M17">
        <f>15.58-10.01</f>
        <v>5.57</v>
      </c>
    </row>
    <row r="18" spans="3:13" x14ac:dyDescent="0.2">
      <c r="C18" t="s">
        <v>16</v>
      </c>
      <c r="G18" s="21">
        <v>0.35189999999999999</v>
      </c>
      <c r="I18" s="4">
        <f>-G18*G44*28</f>
        <v>-98532</v>
      </c>
      <c r="J18" s="4"/>
      <c r="K18" s="11">
        <f>-I18</f>
        <v>98532</v>
      </c>
    </row>
    <row r="19" spans="3:13" x14ac:dyDescent="0.2">
      <c r="C19" t="s">
        <v>17</v>
      </c>
      <c r="G19" s="21">
        <v>3.1800000000000002E-2</v>
      </c>
      <c r="I19" s="4">
        <f>-G19*G44*28</f>
        <v>-8904</v>
      </c>
      <c r="J19" s="4"/>
      <c r="K19" s="11">
        <f>-I19</f>
        <v>8904</v>
      </c>
    </row>
    <row r="20" spans="3:13" x14ac:dyDescent="0.2">
      <c r="G20" s="7"/>
    </row>
    <row r="21" spans="3:13" x14ac:dyDescent="0.2">
      <c r="G21" s="7"/>
    </row>
    <row r="22" spans="3:13" x14ac:dyDescent="0.2">
      <c r="G22" s="7"/>
    </row>
    <row r="23" spans="3:13" ht="13.5" thickBot="1" x14ac:dyDescent="0.25">
      <c r="C23" t="s">
        <v>18</v>
      </c>
      <c r="F23" s="18">
        <v>10000</v>
      </c>
      <c r="G23" s="7">
        <v>10</v>
      </c>
      <c r="H23" s="20">
        <f>+I23</f>
        <v>2800000</v>
      </c>
      <c r="I23" s="13">
        <f>+G23*G44*28</f>
        <v>2800000</v>
      </c>
      <c r="J23" s="14"/>
      <c r="K23" s="1"/>
    </row>
    <row r="25" spans="3:13" x14ac:dyDescent="0.2">
      <c r="C25" s="16" t="s">
        <v>19</v>
      </c>
      <c r="D25" s="16"/>
      <c r="E25" s="16"/>
      <c r="F25" s="16"/>
      <c r="G25" s="17"/>
      <c r="H25" s="11">
        <f>+H10+H23</f>
        <v>925439.42400000035</v>
      </c>
      <c r="I25" s="15">
        <f>SUM(I10:I23)</f>
        <v>740017.55303225853</v>
      </c>
      <c r="J25" s="15"/>
      <c r="K25" s="15">
        <f>SUM(K13:K23)</f>
        <v>185421.87096774194</v>
      </c>
    </row>
    <row r="26" spans="3:13" ht="13.5" thickBot="1" x14ac:dyDescent="0.25"/>
    <row r="27" spans="3:13" ht="13.5" thickBot="1" x14ac:dyDescent="0.25">
      <c r="C27" t="s">
        <v>20</v>
      </c>
      <c r="H27" s="22">
        <f>+H25*0.08</f>
        <v>74035.153920000026</v>
      </c>
      <c r="I27" s="11"/>
      <c r="J27" s="11"/>
    </row>
    <row r="28" spans="3:13" x14ac:dyDescent="0.2">
      <c r="I28" s="16"/>
    </row>
    <row r="29" spans="3:13" x14ac:dyDescent="0.2">
      <c r="C29" t="s">
        <v>21</v>
      </c>
      <c r="H29" s="4">
        <f>+H25*0.92</f>
        <v>851404.27008000039</v>
      </c>
      <c r="I29" s="11"/>
      <c r="J29" s="11"/>
    </row>
    <row r="31" spans="3:13" x14ac:dyDescent="0.2">
      <c r="C31" t="s">
        <v>22</v>
      </c>
      <c r="I31" s="11">
        <f>+I33-I25</f>
        <v>-665982.39911225846</v>
      </c>
      <c r="J31" s="4"/>
      <c r="K31" s="11">
        <f>-I31</f>
        <v>665982.39911225846</v>
      </c>
    </row>
    <row r="32" spans="3:13" ht="13.5" thickBot="1" x14ac:dyDescent="0.25">
      <c r="H32" s="16"/>
      <c r="I32" s="14"/>
      <c r="J32" s="14"/>
      <c r="K32" s="16"/>
    </row>
    <row r="33" spans="3:11" ht="16.5" thickBot="1" x14ac:dyDescent="0.3">
      <c r="C33" s="27" t="s">
        <v>23</v>
      </c>
      <c r="D33" s="28"/>
      <c r="E33" s="28"/>
      <c r="F33" s="28"/>
      <c r="G33" s="28"/>
      <c r="H33" s="29">
        <f>+H25</f>
        <v>925439.42400000035</v>
      </c>
      <c r="I33" s="29">
        <f>+H27</f>
        <v>74035.153920000026</v>
      </c>
      <c r="J33" s="30"/>
      <c r="K33" s="31">
        <f>+H29</f>
        <v>851404.27008000039</v>
      </c>
    </row>
    <row r="34" spans="3:11" x14ac:dyDescent="0.2">
      <c r="I34" s="14"/>
      <c r="J34" s="14"/>
      <c r="K34" s="11"/>
    </row>
    <row r="35" spans="3:11" x14ac:dyDescent="0.2">
      <c r="I35" s="4"/>
      <c r="J35" s="4"/>
      <c r="K35" s="11"/>
    </row>
    <row r="37" spans="3:11" x14ac:dyDescent="0.2">
      <c r="I37">
        <f>4.25+4.36+4.85+4</f>
        <v>17.46</v>
      </c>
    </row>
    <row r="38" spans="3:11" x14ac:dyDescent="0.2">
      <c r="I38">
        <f>+I37/4</f>
        <v>4.3650000000000002</v>
      </c>
    </row>
    <row r="42" spans="3:11" x14ac:dyDescent="0.2">
      <c r="C42" t="s">
        <v>24</v>
      </c>
      <c r="F42">
        <f>+(1-0.0129)</f>
        <v>0.98709999999999998</v>
      </c>
      <c r="G42" s="3">
        <f>+F10</f>
        <v>10664</v>
      </c>
    </row>
    <row r="43" spans="3:11" x14ac:dyDescent="0.2">
      <c r="C43" t="s">
        <v>25</v>
      </c>
      <c r="G43" s="3">
        <f>+G44*1.05</f>
        <v>10500</v>
      </c>
    </row>
    <row r="44" spans="3:11" x14ac:dyDescent="0.2">
      <c r="C44" t="s">
        <v>26</v>
      </c>
      <c r="G44" s="3">
        <v>10000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4"/>
  <sheetViews>
    <sheetView topLeftCell="A5" workbookViewId="0">
      <selection activeCell="G24" sqref="G24"/>
    </sheetView>
  </sheetViews>
  <sheetFormatPr defaultRowHeight="12.75" x14ac:dyDescent="0.2"/>
  <cols>
    <col min="8" max="8" width="19.140625" customWidth="1"/>
    <col min="9" max="9" width="16.85546875" customWidth="1"/>
    <col min="10" max="10" width="5.28515625" customWidth="1"/>
    <col min="11" max="11" width="20" customWidth="1"/>
  </cols>
  <sheetData>
    <row r="3" spans="3:11" ht="18.75" x14ac:dyDescent="0.3">
      <c r="C3" s="5" t="s">
        <v>58</v>
      </c>
      <c r="I3" s="6">
        <f ca="1">NOW()</f>
        <v>36927.595744444443</v>
      </c>
      <c r="J3" s="6"/>
    </row>
    <row r="5" spans="3:11" x14ac:dyDescent="0.2">
      <c r="I5" s="12" t="s">
        <v>0</v>
      </c>
      <c r="J5" s="12"/>
      <c r="K5" s="12" t="s">
        <v>1</v>
      </c>
    </row>
    <row r="6" spans="3:11" ht="13.5" thickBot="1" x14ac:dyDescent="0.25">
      <c r="F6" s="19" t="s">
        <v>2</v>
      </c>
      <c r="G6" s="19" t="s">
        <v>3</v>
      </c>
      <c r="H6" s="19" t="s">
        <v>4</v>
      </c>
      <c r="I6" s="19" t="s">
        <v>5</v>
      </c>
      <c r="J6" s="19"/>
      <c r="K6" s="19" t="s">
        <v>6</v>
      </c>
    </row>
    <row r="7" spans="3:11" x14ac:dyDescent="0.2">
      <c r="C7" t="s">
        <v>50</v>
      </c>
      <c r="G7" s="7">
        <v>7.2750000000000004</v>
      </c>
    </row>
    <row r="8" spans="3:11" x14ac:dyDescent="0.2">
      <c r="C8" t="s">
        <v>51</v>
      </c>
      <c r="G8" s="7">
        <v>0</v>
      </c>
    </row>
    <row r="9" spans="3:11" ht="13.5" thickBot="1" x14ac:dyDescent="0.25">
      <c r="C9" t="s">
        <v>9</v>
      </c>
      <c r="G9" s="8">
        <v>0.02</v>
      </c>
    </row>
    <row r="10" spans="3:11" x14ac:dyDescent="0.2">
      <c r="C10" t="s">
        <v>10</v>
      </c>
      <c r="F10" s="18">
        <v>10664</v>
      </c>
      <c r="G10" s="7">
        <f>+G7+G8+G9</f>
        <v>7.2949999999999999</v>
      </c>
      <c r="H10" s="11">
        <f>+I10</f>
        <v>-2178228.64</v>
      </c>
      <c r="I10" s="4">
        <f>-G10*G42*28</f>
        <v>-2178228.64</v>
      </c>
      <c r="J10" s="4"/>
    </row>
    <row r="11" spans="3:11" x14ac:dyDescent="0.2">
      <c r="G11" s="7"/>
      <c r="I11" s="4"/>
      <c r="J11" s="4"/>
    </row>
    <row r="12" spans="3:11" x14ac:dyDescent="0.2">
      <c r="C12" t="s">
        <v>11</v>
      </c>
      <c r="F12" s="2">
        <v>1.29E-2</v>
      </c>
      <c r="G12" s="9">
        <f>+F12*G10</f>
        <v>9.4105499999999995E-2</v>
      </c>
      <c r="I12" s="4"/>
      <c r="J12" s="4"/>
    </row>
    <row r="13" spans="3:11" x14ac:dyDescent="0.2">
      <c r="C13" t="s">
        <v>12</v>
      </c>
      <c r="G13" s="9">
        <f>7.913/31</f>
        <v>0.25525806451612904</v>
      </c>
      <c r="I13" s="4">
        <f>-G13*G43*28</f>
        <v>-75045.870967741925</v>
      </c>
      <c r="J13" s="4"/>
      <c r="K13" s="11">
        <f>-I13</f>
        <v>75045.870967741925</v>
      </c>
    </row>
    <row r="14" spans="3:11" x14ac:dyDescent="0.2">
      <c r="C14" t="s">
        <v>13</v>
      </c>
      <c r="G14" s="10">
        <v>0.01</v>
      </c>
      <c r="I14" s="4">
        <f>-G43*G14*28</f>
        <v>-2940</v>
      </c>
      <c r="J14" s="4"/>
      <c r="K14" s="11">
        <f>-I14</f>
        <v>2940</v>
      </c>
    </row>
    <row r="15" spans="3:11" x14ac:dyDescent="0.2">
      <c r="G15" s="7"/>
      <c r="I15" s="4"/>
      <c r="J15" s="4"/>
    </row>
    <row r="16" spans="3:11" x14ac:dyDescent="0.2">
      <c r="C16" t="s">
        <v>14</v>
      </c>
      <c r="G16" s="7">
        <f>+G10+G12+G13+G14</f>
        <v>7.654363564516129</v>
      </c>
      <c r="I16" s="4"/>
      <c r="J16" s="4"/>
    </row>
    <row r="17" spans="3:13" x14ac:dyDescent="0.2">
      <c r="C17" t="s">
        <v>15</v>
      </c>
      <c r="G17" s="7">
        <f>+G16/0.95</f>
        <v>8.0572248047538206</v>
      </c>
      <c r="I17" s="4"/>
      <c r="J17" s="4"/>
      <c r="M17">
        <f>15.58-10.01</f>
        <v>5.57</v>
      </c>
    </row>
    <row r="18" spans="3:13" x14ac:dyDescent="0.2">
      <c r="C18" t="s">
        <v>16</v>
      </c>
      <c r="G18" s="21">
        <v>0.35189999999999999</v>
      </c>
      <c r="I18" s="4">
        <f>-G18*G44*28</f>
        <v>-98532</v>
      </c>
      <c r="J18" s="4"/>
      <c r="K18" s="11">
        <f>-I18</f>
        <v>98532</v>
      </c>
    </row>
    <row r="19" spans="3:13" x14ac:dyDescent="0.2">
      <c r="C19" t="s">
        <v>17</v>
      </c>
      <c r="G19" s="21">
        <v>3.1800000000000002E-2</v>
      </c>
      <c r="I19" s="4">
        <f>-G19*G44*28</f>
        <v>-8904</v>
      </c>
      <c r="J19" s="4"/>
      <c r="K19" s="11">
        <f>-I19</f>
        <v>8904</v>
      </c>
    </row>
    <row r="20" spans="3:13" x14ac:dyDescent="0.2">
      <c r="G20" s="7"/>
    </row>
    <row r="21" spans="3:13" x14ac:dyDescent="0.2">
      <c r="G21" s="7"/>
    </row>
    <row r="22" spans="3:13" x14ac:dyDescent="0.2">
      <c r="G22" s="7"/>
    </row>
    <row r="23" spans="3:13" ht="13.5" thickBot="1" x14ac:dyDescent="0.25">
      <c r="C23" t="s">
        <v>18</v>
      </c>
      <c r="F23" s="18">
        <v>10000</v>
      </c>
      <c r="G23" s="7">
        <v>11.55</v>
      </c>
      <c r="H23" s="20">
        <f>+I23</f>
        <v>3234000</v>
      </c>
      <c r="I23" s="13">
        <f>+G23*G44*28</f>
        <v>3234000</v>
      </c>
      <c r="J23" s="14"/>
      <c r="K23" s="1"/>
    </row>
    <row r="25" spans="3:13" x14ac:dyDescent="0.2">
      <c r="C25" s="16" t="s">
        <v>19</v>
      </c>
      <c r="D25" s="16"/>
      <c r="E25" s="16"/>
      <c r="F25" s="16"/>
      <c r="G25" s="17"/>
      <c r="H25" s="11">
        <f>+H10+H23</f>
        <v>1055771.3599999999</v>
      </c>
      <c r="I25" s="15">
        <f>SUM(I10:I23)</f>
        <v>870349.48903225781</v>
      </c>
      <c r="J25" s="15"/>
      <c r="K25" s="15">
        <f>SUM(K13:K23)</f>
        <v>185421.87096774194</v>
      </c>
    </row>
    <row r="26" spans="3:13" ht="13.5" thickBot="1" x14ac:dyDescent="0.25"/>
    <row r="27" spans="3:13" ht="13.5" thickBot="1" x14ac:dyDescent="0.25">
      <c r="C27" t="s">
        <v>20</v>
      </c>
      <c r="H27" s="22">
        <f>+H25*0.08</f>
        <v>84461.708799999993</v>
      </c>
      <c r="I27" s="11"/>
      <c r="J27" s="11"/>
    </row>
    <row r="28" spans="3:13" x14ac:dyDescent="0.2">
      <c r="I28" s="16"/>
    </row>
    <row r="29" spans="3:13" x14ac:dyDescent="0.2">
      <c r="C29" t="s">
        <v>21</v>
      </c>
      <c r="H29" s="4">
        <f>+H25*0.92</f>
        <v>971309.65119999996</v>
      </c>
      <c r="I29" s="11"/>
      <c r="J29" s="11"/>
    </row>
    <row r="31" spans="3:13" x14ac:dyDescent="0.2">
      <c r="C31" t="s">
        <v>22</v>
      </c>
      <c r="I31" s="11">
        <f>+I33-I25</f>
        <v>-785887.78023225779</v>
      </c>
      <c r="J31" s="4"/>
      <c r="K31" s="11">
        <f>-I31</f>
        <v>785887.78023225779</v>
      </c>
    </row>
    <row r="32" spans="3:13" ht="13.5" thickBot="1" x14ac:dyDescent="0.25">
      <c r="H32" s="16"/>
      <c r="I32" s="14"/>
      <c r="J32" s="14"/>
      <c r="K32" s="16"/>
    </row>
    <row r="33" spans="3:11" ht="16.5" thickBot="1" x14ac:dyDescent="0.3">
      <c r="C33" s="27" t="s">
        <v>23</v>
      </c>
      <c r="D33" s="28"/>
      <c r="E33" s="28"/>
      <c r="F33" s="28"/>
      <c r="G33" s="28"/>
      <c r="H33" s="29">
        <f>+H25</f>
        <v>1055771.3599999999</v>
      </c>
      <c r="I33" s="29">
        <f>+H27</f>
        <v>84461.708799999993</v>
      </c>
      <c r="J33" s="30"/>
      <c r="K33" s="31">
        <f>+H29</f>
        <v>971309.65119999996</v>
      </c>
    </row>
    <row r="34" spans="3:11" x14ac:dyDescent="0.2">
      <c r="I34" s="14"/>
      <c r="J34" s="14"/>
      <c r="K34" s="11"/>
    </row>
    <row r="35" spans="3:11" x14ac:dyDescent="0.2">
      <c r="I35" s="4"/>
      <c r="J35" s="4"/>
      <c r="K35" s="11"/>
    </row>
    <row r="42" spans="3:11" x14ac:dyDescent="0.2">
      <c r="C42" t="s">
        <v>24</v>
      </c>
      <c r="F42">
        <f>+(1-0.0129)</f>
        <v>0.98709999999999998</v>
      </c>
      <c r="G42" s="3">
        <f>+F10</f>
        <v>10664</v>
      </c>
    </row>
    <row r="43" spans="3:11" x14ac:dyDescent="0.2">
      <c r="C43" t="s">
        <v>25</v>
      </c>
      <c r="G43" s="3">
        <f>+G44*1.05</f>
        <v>10500</v>
      </c>
    </row>
    <row r="44" spans="3:11" x14ac:dyDescent="0.2">
      <c r="C44" t="s">
        <v>26</v>
      </c>
      <c r="G44" s="3">
        <v>10000</v>
      </c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#1@15.15</vt:lpstr>
      <vt:lpstr>#2@15.10</vt:lpstr>
      <vt:lpstr>#3@15.50</vt:lpstr>
      <vt:lpstr>#4Daily Deal</vt:lpstr>
      <vt:lpstr>#5Feb@10.00</vt:lpstr>
      <vt:lpstr>#6Feb@11.55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2001-02-05T19:54:51Z</cp:lastPrinted>
  <dcterms:created xsi:type="dcterms:W3CDTF">2000-12-08T20:46:59Z</dcterms:created>
  <dcterms:modified xsi:type="dcterms:W3CDTF">2023-09-09T21:37:58Z</dcterms:modified>
</cp:coreProperties>
</file>