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66B18E-788A-4C84-A1E7-5F7BE2890EFB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PNM 500617" sheetId="8" r:id="rId2"/>
    <sheet name="USGT 500617 " sheetId="7" r:id="rId3"/>
    <sheet name="Duke 500622" sheetId="16" r:id="rId4"/>
    <sheet name="Cinergy M&amp;T 500622" sheetId="18" r:id="rId5"/>
    <sheet name="Duke 500623" sheetId="15" r:id="rId6"/>
    <sheet name="USGT 500621" sheetId="6" r:id="rId7"/>
    <sheet name="USGT 500622" sheetId="9" r:id="rId8"/>
    <sheet name="Duke 500621" sheetId="14" r:id="rId9"/>
    <sheet name="USGT 500615" sheetId="3" r:id="rId10"/>
    <sheet name="PG&amp;E 500622" sheetId="4" r:id="rId11"/>
    <sheet name="EES 500616" sheetId="17" r:id="rId12"/>
    <sheet name="Richardson 500622" sheetId="5" r:id="rId13"/>
    <sheet name="Control" sheetId="1" r:id="rId14"/>
    <sheet name="TEST" sheetId="2" r:id="rId15"/>
  </sheets>
  <definedNames>
    <definedName name="_xlnm.Print_Area" localSheetId="1">'PNM 500617'!$A$1:$U$51</definedName>
    <definedName name="_xlnm.Print_Area" localSheetId="0">Summary!$A$1:$K$22</definedName>
  </definedNames>
  <calcPr calcId="0"/>
</workbook>
</file>

<file path=xl/calcChain.xml><?xml version="1.0" encoding="utf-8"?>
<calcChain xmlns="http://schemas.openxmlformats.org/spreadsheetml/2006/main">
  <c r="P11" i="18" l="1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J7" i="13"/>
  <c r="K7" i="13"/>
  <c r="B8" i="13"/>
  <c r="C8" i="13"/>
  <c r="E8" i="13"/>
  <c r="F8" i="13"/>
  <c r="H8" i="13"/>
  <c r="J8" i="13"/>
  <c r="K8" i="13"/>
  <c r="B9" i="13"/>
  <c r="C9" i="13"/>
  <c r="E9" i="13"/>
  <c r="F9" i="13"/>
  <c r="H9" i="13"/>
  <c r="J9" i="13"/>
  <c r="K9" i="13"/>
  <c r="B10" i="13"/>
  <c r="C10" i="13"/>
  <c r="E10" i="13"/>
  <c r="F10" i="13"/>
  <c r="H10" i="13"/>
  <c r="J10" i="13"/>
  <c r="K10" i="13"/>
  <c r="B11" i="13"/>
  <c r="C11" i="13"/>
  <c r="E11" i="13"/>
  <c r="F11" i="13"/>
  <c r="H11" i="13"/>
  <c r="J11" i="13"/>
  <c r="K11" i="13"/>
  <c r="B12" i="13"/>
  <c r="C12" i="13"/>
  <c r="E12" i="13"/>
  <c r="F12" i="13"/>
  <c r="H12" i="13"/>
  <c r="J12" i="13"/>
  <c r="K12" i="13"/>
  <c r="B13" i="13"/>
  <c r="C13" i="13"/>
  <c r="E13" i="13"/>
  <c r="F13" i="13"/>
  <c r="H13" i="13"/>
  <c r="J13" i="13"/>
  <c r="K13" i="13"/>
  <c r="B14" i="13"/>
  <c r="C14" i="13"/>
  <c r="E14" i="13"/>
  <c r="F14" i="13"/>
  <c r="H14" i="13"/>
  <c r="J14" i="13"/>
  <c r="K14" i="13"/>
  <c r="B15" i="13"/>
  <c r="C15" i="13"/>
  <c r="E15" i="13"/>
  <c r="F15" i="13"/>
  <c r="H15" i="13"/>
  <c r="J15" i="13"/>
  <c r="K15" i="13"/>
  <c r="B16" i="13"/>
  <c r="C16" i="13"/>
  <c r="E16" i="13"/>
  <c r="F16" i="13"/>
  <c r="H16" i="13"/>
  <c r="J16" i="13"/>
  <c r="K16" i="13"/>
  <c r="B17" i="13"/>
  <c r="C17" i="13"/>
  <c r="E17" i="13"/>
  <c r="F17" i="13"/>
  <c r="H17" i="13"/>
  <c r="J17" i="13"/>
  <c r="K17" i="13"/>
  <c r="F21" i="13"/>
  <c r="J21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<sst xmlns="http://schemas.openxmlformats.org/spreadsheetml/2006/main" count="521" uniqueCount="65">
  <si>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</si>
  <si>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</si>
  <si>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</si>
  <si>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</si>
  <si>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</si>
  <si>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</si>
  <si>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</si>
  <si>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</si>
  <si>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</si>
  <si>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</si>
  <si>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</si>
  <si>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</si>
  <si>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</si>
  <si>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</si>
  <si>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</si>
  <si>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</si>
  <si>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</si>
  <si>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</si>
  <si>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</si>
  <si>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</si>
  <si>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</si>
  <si>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</si>
  <si>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</si>
  <si>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</si>
  <si>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</si>
  <si>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</si>
  <si>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</si>
  <si>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</si>
  <si>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</si>
  <si>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</si>
  <si>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</si>
  <si>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</si>
  <si>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</si>
  <si>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</si>
  <si>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</si>
  <si>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</si>
  <si>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</si>
  <si>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</si>
  <si>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</si>
  <si>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</si>
  <si>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</si>
  <si>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</si>
  <si>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</si>
  <si>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</si>
  <si>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</si>
  <si>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</si>
  <si>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</si>
  <si>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</si>
  <si>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</si>
  <si>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</si>
  <si>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</si>
  <si>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</si>
  <si>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</si>
  <si>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</si>
  <si>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</si>
  <si>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</si>
  <si>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</si>
  <si>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</si>
  <si>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</si>
  <si>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</si>
  <si>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</si>
  <si>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</si>
  <si>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</si>
  <si>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</si>
  <si>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INVOICE DETAIL -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</si>
</sst>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1" formatCode="#,##0.000000000"/>
    <numFmt numFmtId="172" formatCode="&quot;$&quot;#,##0.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71" fontId="3" fillId="0" borderId="0" xfId="0" applyNumberFormat="1" applyFont="1" applyBorder="1"/>
    <xf numFmtId="171" fontId="0" fillId="0" borderId="0" xfId="0" applyNumberFormat="1"/>
    <xf numFmtId="0" fontId="2" fillId="0" borderId="0" xfId="3" applyFont="1" applyProtection="1">
      <protection locked="0"/>
    </xf>
    <xf numFmtId="172" fontId="2" fillId="0" borderId="0" xfId="3" applyNumberFormat="1" applyFont="1" applyProtection="1">
      <protection locked="0"/>
    </xf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3" fontId="3" fillId="0" borderId="0" xfId="0" applyNumberFormat="1" applyFont="1"/>
    <xf numFmtId="172" fontId="3" fillId="0" borderId="0" xfId="0" applyNumberFormat="1" applyFont="1"/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9F28C3B7-142C-1EAB-1210-8DA40F2E4D61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61A5CF1E-6F2F-B981-A381-FE305BF2ECB3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C893104D-7C54-B720-C900-CAFAF5AF6CC9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51D1BB58-45AF-C820-CE96-474A0D1F4E76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0D13C769-459A-1CEF-5B90-155FE193BABC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7B19ABBB-E99E-22BF-B48A-A0900E1CE924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E611D74B-B050-B9C3-37C8-C0A6B03D79AB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674FBCC6-58B2-7A8F-20F9-6EDA590F164B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5E4B0E93-AF87-77B7-5AF9-F0CBD0725944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3" workbookViewId="0">
      <selection activeCell="H25" sqref="H25"/>
    </sheetView>
  </sheetViews>
  <sheetFormatPr defaultRowHeight="12.75" x14ac:dyDescent="0.2"/>
  <cols>
    <col min="1" max="1" width="10.7109375" customWidth="1"/>
    <col min="2" max="2" width="19.28515625" customWidth="1"/>
    <col min="3" max="5" width="10.7109375" customWidth="1"/>
    <col min="6" max="6" width="11.85546875" customWidth="1"/>
    <col min="7" max="9" width="10.7109375" customWidth="1"/>
    <col min="10" max="10" width="13.5703125" customWidth="1"/>
    <col min="11" max="11" width="12.7109375" customWidth="1"/>
  </cols>
  <sheetData>
    <row r="1" spans="1:11" x14ac:dyDescent="0.2">
      <c r="A1" s="63" t="s">
        <v>44</v>
      </c>
      <c r="F1" s="64"/>
      <c r="G1" s="65"/>
      <c r="H1" s="66"/>
      <c r="I1" s="67"/>
      <c r="J1" s="68"/>
    </row>
    <row r="2" spans="1:11" x14ac:dyDescent="0.2">
      <c r="A2" s="63" t="s">
        <v>45</v>
      </c>
      <c r="F2" s="64"/>
      <c r="G2" s="65"/>
      <c r="H2" s="66"/>
      <c r="I2" s="67"/>
      <c r="J2" s="68"/>
    </row>
    <row r="3" spans="1:11" x14ac:dyDescent="0.2">
      <c r="A3" s="63" t="s">
        <v>46</v>
      </c>
      <c r="F3" s="64"/>
      <c r="G3" s="65"/>
      <c r="H3" s="66"/>
      <c r="I3" s="67"/>
      <c r="J3" s="68"/>
    </row>
    <row r="4" spans="1:11" x14ac:dyDescent="0.2">
      <c r="A4" s="63"/>
      <c r="F4" s="64"/>
      <c r="G4" s="65"/>
      <c r="H4" s="65"/>
      <c r="I4" s="67"/>
      <c r="J4" s="68"/>
    </row>
    <row r="5" spans="1:11" ht="13.5" thickBot="1" x14ac:dyDescent="0.25">
      <c r="A5" s="63"/>
      <c r="F5" s="64"/>
      <c r="G5" s="65"/>
      <c r="H5" s="65"/>
      <c r="I5" s="67"/>
      <c r="J5" s="68"/>
    </row>
    <row r="6" spans="1:11" ht="26.25" thickBot="1" x14ac:dyDescent="0.25">
      <c r="A6" s="70" t="s">
        <v>47</v>
      </c>
      <c r="B6" s="71" t="s">
        <v>48</v>
      </c>
      <c r="C6" s="71" t="s">
        <v>49</v>
      </c>
      <c r="D6" s="71" t="s">
        <v>50</v>
      </c>
      <c r="E6" s="71" t="s">
        <v>51</v>
      </c>
      <c r="F6" s="72" t="s">
        <v>62</v>
      </c>
      <c r="G6" s="73" t="s">
        <v>39</v>
      </c>
      <c r="H6" s="74" t="s">
        <v>52</v>
      </c>
      <c r="I6" s="71" t="s">
        <v>53</v>
      </c>
      <c r="J6" s="75" t="s">
        <v>40</v>
      </c>
      <c r="K6" s="76" t="s">
        <v>54</v>
      </c>
    </row>
    <row r="7" spans="1:11" s="86" customFormat="1" x14ac:dyDescent="0.2">
      <c r="A7" s="94">
        <v>36923</v>
      </c>
      <c r="B7" s="87" t="str">
        <f>'PNM 500617'!B11</f>
        <v>PNM</v>
      </c>
      <c r="C7" s="87">
        <f>'PNM 500617'!C11</f>
        <v>27267</v>
      </c>
      <c r="D7" s="87"/>
      <c r="E7" s="87">
        <f>'PNM 500617'!$E$11</f>
        <v>500617</v>
      </c>
      <c r="F7" s="88">
        <f>'PNM 500617'!$G$48</f>
        <v>17000</v>
      </c>
      <c r="G7" s="89">
        <v>0.38829999999999998</v>
      </c>
      <c r="H7" s="95">
        <f t="shared" ref="H7:H17" si="0">J7/F7</f>
        <v>0.38829999999999998</v>
      </c>
      <c r="I7" s="91" t="s">
        <v>59</v>
      </c>
      <c r="J7" s="90">
        <f>'PNM 500617'!$U$46</f>
        <v>6601.0999999999995</v>
      </c>
      <c r="K7" s="92">
        <f>'PNM 500617'!$K$42</f>
        <v>0</v>
      </c>
    </row>
    <row r="8" spans="1:11" s="86" customFormat="1" ht="13.5" hidden="1" thickBot="1" x14ac:dyDescent="0.25">
      <c r="B8" s="87" t="str">
        <f>'USGT 500615'!$B$11</f>
        <v>USGT</v>
      </c>
      <c r="C8" s="87">
        <f>'USGT 500615'!$C$11</f>
        <v>27268</v>
      </c>
      <c r="D8" s="87"/>
      <c r="E8" s="87">
        <f>'USGT 500615'!$E$11</f>
        <v>500615</v>
      </c>
      <c r="F8" s="88">
        <f>'USGT 500615'!$G$46</f>
        <v>0</v>
      </c>
      <c r="G8" s="89">
        <v>0.38829999999999998</v>
      </c>
      <c r="H8" s="95" t="e">
        <f t="shared" si="0"/>
        <v>#DIV/0!</v>
      </c>
      <c r="I8" s="91" t="s">
        <v>59</v>
      </c>
      <c r="J8" s="90">
        <f>'USGT 500615'!$S$45</f>
        <v>0</v>
      </c>
      <c r="K8" s="92">
        <f>'USGT 500615'!$K$42</f>
        <v>0</v>
      </c>
    </row>
    <row r="9" spans="1:11" s="86" customFormat="1" x14ac:dyDescent="0.2">
      <c r="A9" s="94"/>
      <c r="B9" s="87" t="str">
        <f>'USGT 500617 '!B11</f>
        <v>USGT</v>
      </c>
      <c r="C9" s="87">
        <f>'USGT 500617 '!C11</f>
        <v>27268</v>
      </c>
      <c r="D9" s="87"/>
      <c r="E9" s="87">
        <f>'USGT 500617 '!$E$11</f>
        <v>500617</v>
      </c>
      <c r="F9" s="88">
        <f>ABS('USGT 500617 '!$G$47)</f>
        <v>14875</v>
      </c>
      <c r="G9" s="89">
        <v>0.38829999999999998</v>
      </c>
      <c r="H9" s="95">
        <f>J9/F9</f>
        <v>0.38829999999999998</v>
      </c>
      <c r="I9" s="91" t="s">
        <v>59</v>
      </c>
      <c r="J9" s="108">
        <f>'USGT 500617 '!$U$45</f>
        <v>5775.9624999999996</v>
      </c>
      <c r="K9" s="92">
        <f>'USGT 500615'!$K$42</f>
        <v>0</v>
      </c>
    </row>
    <row r="10" spans="1:11" s="86" customFormat="1" hidden="1" x14ac:dyDescent="0.2">
      <c r="B10" s="86" t="str">
        <f>'USGT 500621'!B11</f>
        <v>USGT</v>
      </c>
      <c r="C10" s="86">
        <f>'USGT 500621'!C11</f>
        <v>27268</v>
      </c>
      <c r="E10" s="86">
        <f>'USGT 500621'!$E$11</f>
        <v>500621</v>
      </c>
      <c r="F10" s="92">
        <f>'USGT 500621'!$G$46</f>
        <v>0</v>
      </c>
      <c r="G10" s="89">
        <v>0.38829999999999998</v>
      </c>
      <c r="H10" s="89" t="e">
        <f t="shared" si="0"/>
        <v>#DIV/0!</v>
      </c>
      <c r="I10" s="91" t="s">
        <v>59</v>
      </c>
      <c r="J10" s="93">
        <f>'USGT 500621'!$T$45</f>
        <v>0</v>
      </c>
      <c r="K10" s="92">
        <f>'USGT 500621'!$K$42</f>
        <v>0</v>
      </c>
    </row>
    <row r="11" spans="1:11" s="86" customFormat="1" hidden="1" x14ac:dyDescent="0.2">
      <c r="B11" s="87" t="str">
        <f>'USGT 500622'!$B$11</f>
        <v>USGT</v>
      </c>
      <c r="C11" s="87">
        <f>'USGT 500622'!$C$11</f>
        <v>27268</v>
      </c>
      <c r="D11" s="87"/>
      <c r="E11" s="87">
        <f>'USGT 500622'!$E$11</f>
        <v>500622</v>
      </c>
      <c r="F11" s="88">
        <f>'USGT 500622'!$G$46</f>
        <v>0</v>
      </c>
      <c r="G11" s="89">
        <v>0.38829999999999998</v>
      </c>
      <c r="H11" s="95" t="e">
        <f t="shared" si="0"/>
        <v>#DIV/0!</v>
      </c>
      <c r="I11" s="91" t="s">
        <v>59</v>
      </c>
      <c r="J11" s="90">
        <f>'USGT 500622'!$T$45</f>
        <v>0</v>
      </c>
      <c r="K11" s="92">
        <f>'USGT 500622'!$K$42</f>
        <v>0</v>
      </c>
    </row>
    <row r="12" spans="1:11" s="86" customFormat="1" hidden="1" x14ac:dyDescent="0.2">
      <c r="B12" s="87" t="str">
        <f>'Duke 500621'!$B$11</f>
        <v>Duke Energy Trading &amp; Mktg</v>
      </c>
      <c r="C12" s="87">
        <f>'Duke 500621'!$C$11</f>
        <v>27266</v>
      </c>
      <c r="D12" s="87"/>
      <c r="E12" s="87">
        <f>'Duke 500621'!$E$11</f>
        <v>500621</v>
      </c>
      <c r="F12" s="88">
        <f>'Duke 500621'!$G$46</f>
        <v>0</v>
      </c>
      <c r="G12" s="89">
        <v>0.38829999999999998</v>
      </c>
      <c r="H12" s="95" t="e">
        <f t="shared" si="0"/>
        <v>#DIV/0!</v>
      </c>
      <c r="I12" s="91" t="s">
        <v>59</v>
      </c>
      <c r="J12" s="90">
        <f>'Duke 500621'!$T$45</f>
        <v>0</v>
      </c>
      <c r="K12" s="92">
        <f>'Duke 500621'!$K$42</f>
        <v>0</v>
      </c>
    </row>
    <row r="13" spans="1:11" s="86" customFormat="1" x14ac:dyDescent="0.2">
      <c r="B13" s="86" t="str">
        <f>'Duke 500622'!B11</f>
        <v>Duke Energy Trading &amp; Mktg</v>
      </c>
      <c r="C13" s="86">
        <f>'Duke 500622'!C11</f>
        <v>27266</v>
      </c>
      <c r="E13" s="86">
        <f>'Duke 500622'!$E$11</f>
        <v>500622</v>
      </c>
      <c r="F13" s="88">
        <f>ABS('Duke 500622'!$G$47)</f>
        <v>3674</v>
      </c>
      <c r="G13" s="89">
        <v>0.38829999999999998</v>
      </c>
      <c r="H13" s="89">
        <f t="shared" si="0"/>
        <v>0.38829999999999998</v>
      </c>
      <c r="I13" s="91" t="s">
        <v>59</v>
      </c>
      <c r="J13" s="93">
        <f>'Duke 500622'!$U$46</f>
        <v>1426.6142</v>
      </c>
      <c r="K13" s="92">
        <f>'Duke 500622'!$K$42</f>
        <v>0</v>
      </c>
    </row>
    <row r="14" spans="1:11" s="86" customFormat="1" hidden="1" x14ac:dyDescent="0.2">
      <c r="B14" s="87" t="str">
        <f>'Duke 500623'!$B$11</f>
        <v>Duke Energy Trading &amp; Mktg</v>
      </c>
      <c r="C14" s="87">
        <f>'Duke 500623'!$C$11</f>
        <v>27266</v>
      </c>
      <c r="D14" s="87"/>
      <c r="E14" s="87">
        <f>'Duke 500623'!$E$11</f>
        <v>500623</v>
      </c>
      <c r="F14" s="88">
        <f>'Duke 500623'!$G$46</f>
        <v>0</v>
      </c>
      <c r="G14" s="89">
        <v>0.38829999999999998</v>
      </c>
      <c r="H14" s="95" t="e">
        <f t="shared" si="0"/>
        <v>#DIV/0!</v>
      </c>
      <c r="I14" s="91" t="s">
        <v>59</v>
      </c>
      <c r="J14" s="90">
        <f>'Duke 500623'!$T$45</f>
        <v>0</v>
      </c>
      <c r="K14" s="92">
        <f>'Duke 500623'!$K$42</f>
        <v>0</v>
      </c>
    </row>
    <row r="15" spans="1:11" s="86" customFormat="1" hidden="1" x14ac:dyDescent="0.2">
      <c r="B15" s="87" t="str">
        <f>'PG&amp;E 500622'!$B$11</f>
        <v>PG&amp;E</v>
      </c>
      <c r="C15" s="87">
        <f>'PG&amp;E 500622'!$C$11</f>
        <v>27404</v>
      </c>
      <c r="D15" s="87"/>
      <c r="E15" s="87">
        <f>'PG&amp;E 500622'!$E$11</f>
        <v>500622</v>
      </c>
      <c r="F15" s="88">
        <f>'PG&amp;E 500622'!$G$46</f>
        <v>0</v>
      </c>
      <c r="G15" s="89">
        <v>0.38829999999999998</v>
      </c>
      <c r="H15" s="95" t="e">
        <f t="shared" si="0"/>
        <v>#DIV/0!</v>
      </c>
      <c r="I15" s="91" t="s">
        <v>59</v>
      </c>
      <c r="J15" s="90">
        <f>'PG&amp;E 500622'!$T$45</f>
        <v>0</v>
      </c>
      <c r="K15" s="92">
        <f>'PG&amp;E 500622'!$K$42</f>
        <v>0</v>
      </c>
    </row>
    <row r="16" spans="1:11" s="86" customFormat="1" hidden="1" x14ac:dyDescent="0.2">
      <c r="B16" s="87" t="str">
        <f>'EES 500616'!$B$11</f>
        <v>Enron Energy Services</v>
      </c>
      <c r="C16" s="87">
        <f>'EES 500616'!$C$11</f>
        <v>27431</v>
      </c>
      <c r="D16" s="87"/>
      <c r="E16" s="87">
        <f>'EES 500616'!$E$11</f>
        <v>500616</v>
      </c>
      <c r="F16" s="88">
        <f>'EES 500616'!$G$46</f>
        <v>0</v>
      </c>
      <c r="G16" s="89">
        <v>0.38829999999999998</v>
      </c>
      <c r="H16" s="95" t="e">
        <f t="shared" si="0"/>
        <v>#DIV/0!</v>
      </c>
      <c r="I16" s="91" t="s">
        <v>59</v>
      </c>
      <c r="J16" s="90">
        <f>'EES 500616'!$T$45</f>
        <v>0</v>
      </c>
      <c r="K16" s="92">
        <f>'EES 500616'!$K$42</f>
        <v>0</v>
      </c>
    </row>
    <row r="17" spans="1:11" s="86" customFormat="1" hidden="1" x14ac:dyDescent="0.2">
      <c r="B17" s="87" t="str">
        <f>'Richardson 500622'!$B$11</f>
        <v>Richardson</v>
      </c>
      <c r="C17" s="87">
        <f>'Richardson 500622'!$C$11</f>
        <v>27249</v>
      </c>
      <c r="D17" s="87"/>
      <c r="E17" s="87">
        <f>'Richardson 500622'!$E$11</f>
        <v>500622</v>
      </c>
      <c r="F17" s="88">
        <f>'Richardson 500622'!$G$46</f>
        <v>0</v>
      </c>
      <c r="G17" s="89">
        <v>0.38829999999999998</v>
      </c>
      <c r="H17" s="95" t="e">
        <f t="shared" si="0"/>
        <v>#DIV/0!</v>
      </c>
      <c r="I17" s="91" t="s">
        <v>59</v>
      </c>
      <c r="J17" s="90">
        <f>'Richardson 500622'!$T$45</f>
        <v>0</v>
      </c>
      <c r="K17" s="92">
        <f>'Richardson 500622'!$K$42</f>
        <v>0</v>
      </c>
    </row>
    <row r="19" spans="1:11" s="86" customFormat="1" x14ac:dyDescent="0.2">
      <c r="B19" s="87"/>
      <c r="C19" s="87"/>
      <c r="D19" s="87"/>
      <c r="E19" s="87"/>
      <c r="F19" s="88"/>
      <c r="G19" s="89"/>
      <c r="H19" s="95"/>
      <c r="I19" s="91"/>
      <c r="J19" s="90"/>
      <c r="K19" s="92"/>
    </row>
    <row r="21" spans="1:11" ht="13.5" thickBot="1" x14ac:dyDescent="0.25">
      <c r="B21" s="82" t="s">
        <v>55</v>
      </c>
      <c r="C21" s="82"/>
      <c r="D21" s="82"/>
      <c r="E21" s="82"/>
      <c r="F21" s="83">
        <f>SUM(F7:F20)</f>
        <v>35549</v>
      </c>
      <c r="G21" s="82"/>
      <c r="H21" s="82"/>
      <c r="I21" s="82"/>
      <c r="J21" s="84">
        <f>SUM(J7:J20)</f>
        <v>13803.6767</v>
      </c>
    </row>
    <row r="22" spans="1:11" ht="13.5" thickTop="1" x14ac:dyDescent="0.2"/>
    <row r="24" spans="1:11" x14ac:dyDescent="0.2">
      <c r="A24" s="81"/>
      <c r="B24" s="86"/>
      <c r="C24" s="86"/>
      <c r="E24" s="99"/>
      <c r="F24" s="100"/>
    </row>
    <row r="25" spans="1:11" x14ac:dyDescent="0.2">
      <c r="B25" s="80"/>
      <c r="C25" s="86"/>
      <c r="D25" s="114"/>
      <c r="E25" s="114"/>
      <c r="F25" s="103"/>
      <c r="G25" s="89"/>
      <c r="H25" s="89"/>
      <c r="I25" s="91"/>
      <c r="J25" s="104"/>
      <c r="K25" s="103"/>
    </row>
    <row r="26" spans="1:11" x14ac:dyDescent="0.2">
      <c r="B26" s="80"/>
    </row>
    <row r="27" spans="1:11" x14ac:dyDescent="0.2">
      <c r="B27" s="80"/>
    </row>
    <row r="28" spans="1:11" x14ac:dyDescent="0.2">
      <c r="B28" s="80"/>
    </row>
    <row r="34" spans="2:10" x14ac:dyDescent="0.2">
      <c r="B34" s="87"/>
      <c r="C34" s="87"/>
      <c r="D34" s="87"/>
      <c r="E34" s="87"/>
      <c r="F34" s="88"/>
      <c r="G34" s="89"/>
      <c r="H34" s="97"/>
      <c r="I34" s="91"/>
      <c r="J34" s="90"/>
    </row>
    <row r="35" spans="2:10" x14ac:dyDescent="0.2">
      <c r="H35" s="98"/>
    </row>
    <row r="36" spans="2:10" x14ac:dyDescent="0.2">
      <c r="H36" s="97"/>
    </row>
    <row r="37" spans="2:10" x14ac:dyDescent="0.2">
      <c r="H37" s="98"/>
    </row>
    <row r="38" spans="2:10" x14ac:dyDescent="0.2">
      <c r="H38" s="98"/>
      <c r="J38" s="96"/>
    </row>
    <row r="39" spans="2:10" x14ac:dyDescent="0.2">
      <c r="H39" s="98"/>
    </row>
    <row r="40" spans="2:10" x14ac:dyDescent="0.2">
      <c r="H40" s="98"/>
    </row>
    <row r="41" spans="2:10" x14ac:dyDescent="0.2">
      <c r="H41" s="97"/>
    </row>
  </sheetData>
  <mergeCells count="1">
    <mergeCell ref="D25:E25"/>
  </mergeCells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U7" sqref="U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107">
        <v>36923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5"/>
      <c r="Y43" s="38"/>
      <c r="Z43" s="56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2" t="s">
        <v>42</v>
      </c>
      <c r="I45" s="122" t="s">
        <v>41</v>
      </c>
      <c r="J45" s="123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60"/>
      <c r="I46" s="126"/>
      <c r="J46" s="127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1">
        <v>0.1</v>
      </c>
      <c r="I47" s="124">
        <f>G46*H47</f>
        <v>0</v>
      </c>
      <c r="J47" s="125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115"/>
      <c r="M45" s="115"/>
      <c r="N45" s="115"/>
      <c r="O45" s="115"/>
      <c r="P45" s="115"/>
      <c r="Q45" s="115"/>
      <c r="R45" s="115"/>
      <c r="S45" s="115"/>
      <c r="T45" s="69"/>
    </row>
    <row r="46" spans="1:21" ht="13.5" thickBot="1" x14ac:dyDescent="0.25">
      <c r="A46" s="16"/>
      <c r="E46" s="34" t="s">
        <v>24</v>
      </c>
      <c r="G46" s="30">
        <f>+G43</f>
        <v>0</v>
      </c>
      <c r="L46" s="128" t="s">
        <v>43</v>
      </c>
      <c r="M46" s="129"/>
      <c r="N46" s="129"/>
      <c r="O46" s="129"/>
      <c r="P46" s="129"/>
      <c r="Q46" s="129"/>
      <c r="R46" s="129"/>
      <c r="S46" s="130"/>
      <c r="T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F29" sqref="F2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58</v>
      </c>
      <c r="C11" s="14">
        <v>27431</v>
      </c>
      <c r="D11" s="107">
        <v>36923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7"/>
      <c r="S50" s="37"/>
      <c r="T50" s="38"/>
    </row>
    <row r="51" spans="1:21" x14ac:dyDescent="0.2">
      <c r="A51" s="16"/>
      <c r="N51" s="38"/>
      <c r="O51" s="77"/>
    </row>
    <row r="52" spans="1:21" x14ac:dyDescent="0.2">
      <c r="A52" s="16"/>
      <c r="N52" s="38"/>
      <c r="O52" s="77"/>
    </row>
    <row r="53" spans="1:21" ht="13.5" thickBot="1" x14ac:dyDescent="0.25">
      <c r="A53" s="21" t="s">
        <v>60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128" t="s">
        <v>43</v>
      </c>
      <c r="N90" s="129"/>
      <c r="O90" s="129"/>
      <c r="P90" s="129"/>
      <c r="Q90" s="129"/>
      <c r="R90" s="129"/>
      <c r="S90" s="129"/>
      <c r="T90" s="130"/>
      <c r="U90" s="59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G20" workbookViewId="0">
      <selection activeCell="L48" sqref="L48:T4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18" t="s">
        <v>63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3" x14ac:dyDescent="0.2">
      <c r="B3" s="118" t="s">
        <v>64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>
        <v>17000</v>
      </c>
      <c r="H16" s="23"/>
      <c r="I16" s="23">
        <f t="shared" si="2"/>
        <v>17000</v>
      </c>
      <c r="J16" s="23"/>
      <c r="K16" s="23">
        <f t="shared" si="8"/>
        <v>17000</v>
      </c>
      <c r="L16" s="24">
        <v>0.38829999999999998</v>
      </c>
      <c r="M16" s="24">
        <v>0.38829999999999998</v>
      </c>
      <c r="N16" s="25">
        <f t="shared" si="0"/>
        <v>6601.0999999999995</v>
      </c>
      <c r="O16" s="25">
        <f t="shared" si="1"/>
        <v>0</v>
      </c>
      <c r="P16" s="20">
        <f t="shared" si="3"/>
        <v>17000</v>
      </c>
      <c r="Q16" s="20">
        <f t="shared" si="4"/>
        <v>0</v>
      </c>
      <c r="R16" s="20">
        <f t="shared" si="5"/>
        <v>17000</v>
      </c>
      <c r="S16" s="20">
        <f t="shared" si="6"/>
        <v>0</v>
      </c>
      <c r="T16" s="51">
        <f t="shared" si="9"/>
        <v>6601.0999999999995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>
        <v>-17000</v>
      </c>
      <c r="I17" s="23">
        <f t="shared" si="2"/>
        <v>-17000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6601.0999999999995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5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17000</v>
      </c>
      <c r="H43" s="1">
        <f>+SUM(H12:H42)</f>
        <v>-17000</v>
      </c>
      <c r="I43" s="1">
        <f>+SUM(I12:I42)</f>
        <v>0</v>
      </c>
      <c r="N43" s="57">
        <f>SUM(N12:N42)</f>
        <v>6601.0999999999995</v>
      </c>
      <c r="O43" s="57">
        <f>SUM(O12:O42)</f>
        <v>6601.0999999999995</v>
      </c>
      <c r="P43" s="57">
        <f t="shared" ref="P43:U43" si="10">SUM(P12:P42)</f>
        <v>17000</v>
      </c>
      <c r="Q43" s="57">
        <f t="shared" si="10"/>
        <v>0</v>
      </c>
      <c r="R43" s="57">
        <f t="shared" si="10"/>
        <v>17000</v>
      </c>
      <c r="S43" s="57">
        <f t="shared" si="10"/>
        <v>0</v>
      </c>
      <c r="T43" s="78">
        <f t="shared" si="10"/>
        <v>6601.0999999999995</v>
      </c>
      <c r="U43" s="78">
        <f t="shared" si="10"/>
        <v>0</v>
      </c>
      <c r="Y43" s="49">
        <f>SUM(T12:T36)</f>
        <v>6601.0999999999995</v>
      </c>
    </row>
    <row r="44" spans="1:25" x14ac:dyDescent="0.2">
      <c r="A44" s="16"/>
      <c r="E44"/>
      <c r="F44"/>
      <c r="G44"/>
      <c r="M44" s="115"/>
      <c r="N44" s="115"/>
      <c r="O44" s="115"/>
      <c r="P44" s="115"/>
      <c r="Q44" s="115"/>
      <c r="R44" s="115"/>
      <c r="S44" s="115"/>
      <c r="T44" s="115"/>
      <c r="U44" s="69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17000</v>
      </c>
    </row>
    <row r="46" spans="1:25" ht="13.5" thickBot="1" x14ac:dyDescent="0.25">
      <c r="A46" s="16"/>
      <c r="E46" s="34" t="s">
        <v>24</v>
      </c>
      <c r="G46" s="30">
        <f>+G43</f>
        <v>17000</v>
      </c>
      <c r="L46" s="116" t="s">
        <v>43</v>
      </c>
      <c r="M46" s="117"/>
      <c r="N46" s="117"/>
      <c r="O46" s="117"/>
      <c r="P46" s="117"/>
      <c r="Q46" s="117"/>
      <c r="R46" s="117"/>
      <c r="S46" s="117"/>
      <c r="T46" s="117"/>
      <c r="U46" s="59">
        <f>T43+(ABS((U43)))</f>
        <v>6601.0999999999995</v>
      </c>
    </row>
    <row r="47" spans="1:25" x14ac:dyDescent="0.2">
      <c r="A47" s="16"/>
      <c r="E47" s="34" t="s">
        <v>25</v>
      </c>
      <c r="G47" s="30">
        <f>+H43</f>
        <v>-17000</v>
      </c>
      <c r="N47" s="38"/>
      <c r="O47" s="38"/>
      <c r="S47" s="37"/>
      <c r="T47" s="38"/>
    </row>
    <row r="48" spans="1:25" x14ac:dyDescent="0.2">
      <c r="A48" s="16"/>
      <c r="G48" s="30">
        <f>ABS(G47)</f>
        <v>17000</v>
      </c>
      <c r="L48" s="115"/>
      <c r="M48" s="115"/>
      <c r="N48" s="115"/>
      <c r="O48" s="115"/>
      <c r="P48" s="115"/>
      <c r="Q48" s="115"/>
      <c r="R48" s="115"/>
      <c r="S48" s="115"/>
      <c r="T48" s="115"/>
      <c r="U48" s="106"/>
    </row>
    <row r="49" spans="1:25" x14ac:dyDescent="0.2">
      <c r="A49" s="16"/>
      <c r="L49" s="105"/>
      <c r="M49" s="105"/>
      <c r="N49" s="105"/>
      <c r="O49" s="105"/>
      <c r="P49" s="105"/>
      <c r="Q49" s="105"/>
      <c r="R49" s="105"/>
      <c r="S49" s="105"/>
      <c r="T49" s="105"/>
      <c r="U49" s="106"/>
    </row>
    <row r="50" spans="1:25" ht="13.5" customHeight="1" x14ac:dyDescent="0.2">
      <c r="A50" s="16"/>
      <c r="G50" s="30">
        <f>G46+G47</f>
        <v>0</v>
      </c>
      <c r="L50" s="38"/>
      <c r="M50" s="109"/>
      <c r="N50" s="110"/>
      <c r="O50" s="111"/>
      <c r="P50" s="112"/>
      <c r="Q50" s="112"/>
      <c r="R50" s="112"/>
      <c r="S50" s="112"/>
      <c r="T50" s="111"/>
      <c r="U50" s="113"/>
      <c r="Y50" s="49">
        <f>Y43+ABS(U43)</f>
        <v>6601.0999999999995</v>
      </c>
    </row>
    <row r="51" spans="1:25" x14ac:dyDescent="0.2">
      <c r="A51" s="16"/>
      <c r="N51" s="41" t="s">
        <v>27</v>
      </c>
      <c r="O51" s="42">
        <f>+G43*0.0128</f>
        <v>217.60000000000002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217.60000000000002</v>
      </c>
    </row>
    <row r="53" spans="1:25" x14ac:dyDescent="0.2">
      <c r="A53" s="16"/>
      <c r="N53" s="41" t="s">
        <v>29</v>
      </c>
      <c r="O53" s="42">
        <f>0.0761*S45</f>
        <v>1293.7</v>
      </c>
    </row>
    <row r="54" spans="1:25" x14ac:dyDescent="0.2">
      <c r="A54" s="16"/>
      <c r="N54" s="43" t="s">
        <v>30</v>
      </c>
      <c r="O54" s="44">
        <f>SUM(O51:O53)</f>
        <v>1728.9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1728.9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9" workbookViewId="0">
      <selection activeCell="U45" sqref="U45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-14875</v>
      </c>
      <c r="I41" s="28">
        <f t="shared" si="2"/>
        <v>-14875</v>
      </c>
      <c r="J41" s="23"/>
      <c r="K41" s="23">
        <f t="shared" si="8"/>
        <v>-14875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5775.9624999999996</v>
      </c>
      <c r="P41" s="20">
        <f t="shared" si="3"/>
        <v>0</v>
      </c>
      <c r="Q41" s="20">
        <f t="shared" si="4"/>
        <v>-14875</v>
      </c>
      <c r="R41" s="20">
        <f t="shared" si="5"/>
        <v>0</v>
      </c>
      <c r="S41" s="20">
        <f t="shared" si="6"/>
        <v>-14875</v>
      </c>
      <c r="T41" s="51">
        <f t="shared" si="9"/>
        <v>0</v>
      </c>
      <c r="U41" s="49">
        <f t="shared" si="7"/>
        <v>-5775.9624999999996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-14875</v>
      </c>
      <c r="I43" s="1">
        <f>+SUM(I12:I42)</f>
        <v>-14875</v>
      </c>
      <c r="N43" s="31">
        <f>SUM(N12:N42)</f>
        <v>0</v>
      </c>
      <c r="O43" s="31">
        <f>SUM(O12:O42)</f>
        <v>5775.9624999999996</v>
      </c>
      <c r="P43" s="31">
        <f t="shared" ref="P43:U43" si="10">SUM(P12:P42)</f>
        <v>0</v>
      </c>
      <c r="Q43" s="31">
        <f t="shared" si="10"/>
        <v>-14875</v>
      </c>
      <c r="R43" s="31">
        <f t="shared" si="10"/>
        <v>0</v>
      </c>
      <c r="S43" s="31">
        <f t="shared" si="10"/>
        <v>-14875</v>
      </c>
      <c r="T43" s="31">
        <f t="shared" si="10"/>
        <v>0</v>
      </c>
      <c r="U43" s="31">
        <f t="shared" si="10"/>
        <v>-5775.9624999999996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19" t="s">
        <v>43</v>
      </c>
      <c r="N45" s="120"/>
      <c r="O45" s="120"/>
      <c r="P45" s="120"/>
      <c r="Q45" s="120"/>
      <c r="R45" s="120"/>
      <c r="S45" s="120"/>
      <c r="T45" s="121"/>
      <c r="U45" s="58">
        <f>ABS(U43)</f>
        <v>5775.9624999999996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-14875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190.4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190.4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190.4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" workbookViewId="0">
      <selection activeCell="W40" sqref="W4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>
        <v>3674</v>
      </c>
      <c r="K11" s="18"/>
      <c r="L11" s="19"/>
      <c r="M11" s="19"/>
      <c r="N11" s="19"/>
      <c r="O11" s="19"/>
      <c r="P11" s="20">
        <f>IF($J11&gt;0,$J11,0)</f>
        <v>3674</v>
      </c>
      <c r="Q11" s="20">
        <f>IF($J11&lt;0,$J11,0)</f>
        <v>0</v>
      </c>
      <c r="R11" s="20">
        <f>+P11</f>
        <v>3674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3674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3674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1426.6142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>
        <v>-3674</v>
      </c>
      <c r="I13" s="23">
        <f>+G13+H13</f>
        <v>-3674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1426.6142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-3674</v>
      </c>
      <c r="I43" s="1">
        <f>+SUM(I12:I42)</f>
        <v>-3674</v>
      </c>
      <c r="N43" s="31">
        <f>SUM(N12:N42)</f>
        <v>0</v>
      </c>
      <c r="O43" s="31">
        <f>SUM(O12:O42)</f>
        <v>1426.6142</v>
      </c>
      <c r="P43" s="31">
        <f t="shared" ref="P43:U43" si="10">SUM(P12:P42)</f>
        <v>3674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1426.6142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1426.6142</v>
      </c>
    </row>
    <row r="47" spans="1:21" x14ac:dyDescent="0.2">
      <c r="A47" s="16"/>
      <c r="E47" s="34" t="s">
        <v>25</v>
      </c>
      <c r="G47" s="30">
        <f>+H43</f>
        <v>-3674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102"/>
      <c r="D49" s="101"/>
      <c r="N49" s="35"/>
      <c r="O49" s="38"/>
      <c r="S49" s="37"/>
      <c r="T49" s="38"/>
    </row>
    <row r="50" spans="1:20" x14ac:dyDescent="0.2">
      <c r="A50" s="16"/>
      <c r="N50" s="38"/>
      <c r="O50" s="77"/>
      <c r="S50" s="37"/>
      <c r="T50" s="38"/>
    </row>
    <row r="51" spans="1:20" x14ac:dyDescent="0.2">
      <c r="A51" s="16"/>
      <c r="N51" s="38"/>
      <c r="O51" s="77"/>
    </row>
    <row r="52" spans="1:20" x14ac:dyDescent="0.2">
      <c r="A52" s="16"/>
      <c r="N52" s="38"/>
      <c r="O52" s="77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8" sqref="H3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61</v>
      </c>
      <c r="C11" s="14">
        <v>27467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42" sqref="G4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F24" sqref="F24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16384" width="9.140625" style="12"/>
  </cols>
  <sheetData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20" sqref="D2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57</v>
      </c>
      <c r="C11" s="14">
        <v>27266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Summary</vt:lpstr>
      <vt:lpstr>PNM 500617</vt:lpstr>
      <vt:lpstr>USGT 500617 </vt:lpstr>
      <vt:lpstr>Duke 500622</vt:lpstr>
      <vt:lpstr>Cinergy M&amp;T 500622</vt:lpstr>
      <vt:lpstr>Duke 500623</vt:lpstr>
      <vt:lpstr>USGT 500621</vt:lpstr>
      <vt:lpstr>USGT 500622</vt:lpstr>
      <vt:lpstr>Duke 500621</vt:lpstr>
      <vt:lpstr>USGT 500615</vt:lpstr>
      <vt:lpstr>PG&amp;E 500622</vt:lpstr>
      <vt:lpstr>EES 500616</vt:lpstr>
      <vt:lpstr>Richardson 500622</vt:lpstr>
      <vt:lpstr>Control</vt:lpstr>
      <vt:lpstr>TEST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2001-03-01T16:46:25Z</cp:lastPrinted>
  <dcterms:created xsi:type="dcterms:W3CDTF">2000-11-28T19:34:37Z</dcterms:created>
  <dcterms:modified xsi:type="dcterms:W3CDTF">2023-09-09T21:45:44Z</dcterms:modified>
</cp:coreProperties>
</file>