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9D0A79-DD9D-4D2C-AFDA-475AA103F221}" xr6:coauthVersionLast="47" xr6:coauthVersionMax="47" xr10:uidLastSave="{00000000-0000-0000-0000-000000000000}"/>
  <bookViews>
    <workbookView xWindow="-120" yWindow="-120" windowWidth="38640" windowHeight="15720" tabRatio="603" firstSheet="3" activeTab="4"/>
  </bookViews>
  <sheets>
    <sheet name="Deal Volumes" sheetId="7" r:id="rId1"/>
    <sheet name="GD Options" sheetId="2" r:id="rId2"/>
    <sheet name="Curves" sheetId="5" r:id="rId3"/>
    <sheet name="Locations" sheetId="3" r:id="rId4"/>
    <sheet name="Model - Summer" sheetId="8" r:id="rId5"/>
    <sheet name="Model - PH Robinson Only" sheetId="9" r:id="rId6"/>
    <sheet name="Model - Term" sheetId="6" r:id="rId7"/>
    <sheet name="Historical Flow" sheetId="4" r:id="rId8"/>
  </sheets>
  <externalReferences>
    <externalReference r:id="rId9"/>
  </externalReferences>
  <definedNames>
    <definedName name="EffDt">[1]Curves!$B$5</definedName>
  </definedNames>
  <calcPr calcId="0" calcOnSave="0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Q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Q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Q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Q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Q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Q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Q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Q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Q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Q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Q33" i="7"/>
  <c r="C35" i="7"/>
  <c r="E35" i="7"/>
  <c r="G35" i="7"/>
  <c r="I35" i="7"/>
  <c r="K35" i="7"/>
  <c r="M35" i="7"/>
  <c r="O35" i="7"/>
  <c r="P35" i="7"/>
  <c r="Q35" i="7"/>
  <c r="D38" i="7"/>
  <c r="D39" i="7"/>
  <c r="D40" i="7"/>
  <c r="D41" i="7"/>
  <c r="D42" i="7"/>
  <c r="D43" i="7"/>
  <c r="D44" i="7"/>
  <c r="D45" i="7"/>
  <c r="D46" i="7"/>
  <c r="D47" i="7"/>
  <c r="D48" i="7"/>
  <c r="D49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C25" i="4"/>
  <c r="B1" i="9"/>
  <c r="O5" i="9"/>
  <c r="P5" i="9"/>
  <c r="Q5" i="9"/>
  <c r="R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E12" i="9"/>
  <c r="F12" i="9"/>
  <c r="H12" i="9"/>
  <c r="I12" i="9"/>
  <c r="J12" i="9"/>
  <c r="K12" i="9"/>
  <c r="L12" i="9"/>
  <c r="M12" i="9"/>
  <c r="H13" i="9"/>
  <c r="J13" i="9"/>
  <c r="K13" i="9"/>
  <c r="L13" i="9"/>
  <c r="M13" i="9"/>
  <c r="B1" i="8"/>
  <c r="N3" i="8"/>
  <c r="I5" i="8"/>
  <c r="J5" i="8"/>
  <c r="L5" i="8"/>
  <c r="M5" i="8"/>
  <c r="O5" i="8"/>
  <c r="P5" i="8"/>
  <c r="X6" i="8"/>
  <c r="Y6" i="8"/>
  <c r="Z6" i="8"/>
  <c r="AA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F13" i="8"/>
  <c r="G13" i="8"/>
  <c r="H13" i="8"/>
  <c r="I13" i="8"/>
  <c r="J13" i="8"/>
  <c r="K13" i="8"/>
  <c r="N13" i="8"/>
  <c r="O13" i="8"/>
  <c r="P13" i="8"/>
  <c r="Q13" i="8"/>
  <c r="R13" i="8"/>
  <c r="S13" i="8"/>
  <c r="T13" i="8"/>
  <c r="U13" i="8"/>
  <c r="V13" i="8"/>
  <c r="N14" i="8"/>
  <c r="Q14" i="8"/>
  <c r="S14" i="8"/>
  <c r="T14" i="8"/>
  <c r="U14" i="8"/>
  <c r="V14" i="8"/>
  <c r="B1" i="6"/>
  <c r="I5" i="6"/>
  <c r="J5" i="6"/>
  <c r="L5" i="6"/>
  <c r="M5" i="6"/>
  <c r="O5" i="6"/>
  <c r="P5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T17" i="6"/>
  <c r="U17" i="6"/>
  <c r="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U18" i="6"/>
  <c r="V18" i="6"/>
  <c r="F20" i="6"/>
  <c r="G20" i="6"/>
  <c r="H20" i="6"/>
  <c r="I20" i="6"/>
  <c r="J20" i="6"/>
  <c r="K20" i="6"/>
  <c r="N20" i="6"/>
  <c r="O20" i="6"/>
  <c r="P20" i="6"/>
  <c r="Q20" i="6"/>
  <c r="R20" i="6"/>
  <c r="S20" i="6"/>
  <c r="T20" i="6"/>
  <c r="U20" i="6"/>
  <c r="V20" i="6"/>
  <c r="N21" i="6"/>
  <c r="Q21" i="6"/>
  <c r="S21" i="6"/>
  <c r="T21" i="6"/>
  <c r="U21" i="6"/>
  <c r="V21" i="6"/>
</calcChain>
</file>

<file path=xl/sharedStrings.xml><?xml version="1.0" encoding="utf-8"?>
<sst xmlns="http://schemas.openxmlformats.org/spreadsheetml/2006/main" count="263" uniqueCount="122">
  <si>
    <t>Discount Factor</t>
  </si>
  <si>
    <t>Min/d</t>
  </si>
  <si>
    <t>Max/d</t>
  </si>
  <si>
    <t>Avg/d</t>
  </si>
  <si>
    <t>Index Adder</t>
  </si>
  <si>
    <t>Month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</si>
  <si>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</si>
  <si>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</si>
  <si>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</si>
  <si>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</si>
  <si>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</si>
  <si>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</si>
  <si>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</si>
  <si>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</si>
  <si>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</si>
  <si>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</si>
  <si>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</si>
  <si>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</si>
  <si>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</si>
  <si>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</si>
  <si>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</si>
  <si>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</si>
  <si>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</si>
  <si>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</si>
  <si>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</si>
  <si>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</si>
  <si>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</si>
  <si>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</si>
  <si>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</si>
  <si>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</si>
  <si>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</si>
  <si>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</si>
  <si>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</si>
  <si>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</si>
  <si>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</si>
  <si>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</si>
  <si>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</si>
  <si>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</si>
  <si>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</si>
  <si>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</si>
  <si>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</si>
  <si>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</si>
  <si>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</si>
  <si>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</si>
  <si>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</si>
  <si>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</si>
  <si>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</si>
  <si>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</si>
  <si>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</si>
  <si>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</si>
  <si>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</si>
  <si>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</si>
  <si>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</si>
  <si>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</si>
  <si>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</si>
  <si>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</si>
  <si>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</si>
  <si>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</si>
  <si>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</si>
  <si>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</si>
  <si>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</si>
  <si>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</si>
  <si>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</si>
  <si>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</si>
  <si>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</si>
  <si>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</si>
  <si>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</si>
  <si>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</si>
  <si>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</si>
  <si>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</si>
  <si>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</si>
  <si>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</si>
  <si>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</si>
  <si>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</si>
  <si>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</si>
  <si>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</si>
  <si>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</si>
  <si>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</si>
  <si>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</si>
  <si>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</si>
  <si>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</si>
  <si>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</si>
  <si>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</si>
  <si>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</si>
  <si>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</si>
  <si>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</si>
  <si>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</si>
  <si>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</si>
  <si>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</si>
  <si>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</si>
  <si>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</si>
  <si>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</si>
  <si>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</si>
  <si>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</si>
  <si>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</si>
  <si>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</si>
  <si>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Storage Cost</t>
  </si>
  <si>
    <t>TOTAL COSTS</t>
  </si>
  <si>
    <t>DEAL VALUE</t>
  </si>
  <si>
    <t>NET ORIG VALUE</t>
  </si>
  <si>
    <t>Phys Prem</t>
  </si>
  <si>
    <t>Customer Price</t>
  </si>
  <si>
    <t>UNIT COST</t>
  </si>
  <si>
    <t>Summer</t>
  </si>
  <si>
    <t>Minibook</t>
  </si>
  <si>
    <t>INTEREST RATE</t>
  </si>
  <si>
    <t>UNIT COSTS</t>
  </si>
  <si>
    <t>Notional Volumes</t>
  </si>
  <si>
    <t>PV Volumes</t>
  </si>
  <si>
    <t>IF-A/S East Offer Curve</t>
  </si>
  <si>
    <t xml:space="preserve"> </t>
  </si>
  <si>
    <t>Daily</t>
  </si>
  <si>
    <t>Cedar Bayou and PH Daily</t>
  </si>
  <si>
    <t>Historical Y/N?</t>
  </si>
  <si>
    <t>PH ROBINSON</t>
  </si>
  <si>
    <t>1 = YES, 0 = NO</t>
  </si>
  <si>
    <t>Daily Volume</t>
  </si>
  <si>
    <t>MID - OFFER COST</t>
  </si>
  <si>
    <t>TRANSPORT PREMIUM</t>
  </si>
  <si>
    <t>STORAGE</t>
  </si>
  <si>
    <t>PH/Cedar</t>
  </si>
  <si>
    <t>PH/CEDAR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</si>
</sst>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4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2" fillId="0" borderId="0" xfId="0" applyFont="1" applyFill="1"/>
    <xf numFmtId="0" fontId="4" fillId="2" borderId="1" xfId="0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8" fillId="0" borderId="0" xfId="0" applyNumberFormat="1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9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8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3" borderId="6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3" applyFont="1" applyFill="1"/>
    <xf numFmtId="171" fontId="2" fillId="0" borderId="0" xfId="1" applyNumberFormat="1" applyFont="1" applyFill="1"/>
    <xf numFmtId="0" fontId="10" fillId="0" borderId="0" xfId="0" applyFont="1" applyFill="1"/>
    <xf numFmtId="171" fontId="2" fillId="2" borderId="9" xfId="1" applyNumberFormat="1" applyFont="1" applyFill="1" applyBorder="1"/>
    <xf numFmtId="0" fontId="2" fillId="2" borderId="10" xfId="0" applyFont="1" applyFill="1" applyBorder="1"/>
    <xf numFmtId="0" fontId="2" fillId="2" borderId="10" xfId="0" quotePrefix="1" applyFont="1" applyFill="1" applyBorder="1"/>
    <xf numFmtId="0" fontId="10" fillId="2" borderId="11" xfId="0" applyFont="1" applyFill="1" applyBorder="1"/>
    <xf numFmtId="171" fontId="2" fillId="2" borderId="12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0" fillId="2" borderId="13" xfId="0" applyFont="1" applyFill="1" applyBorder="1"/>
    <xf numFmtId="171" fontId="2" fillId="2" borderId="14" xfId="1" applyNumberFormat="1" applyFont="1" applyFill="1" applyBorder="1"/>
    <xf numFmtId="0" fontId="2" fillId="2" borderId="15" xfId="0" applyFont="1" applyFill="1" applyBorder="1"/>
    <xf numFmtId="0" fontId="2" fillId="2" borderId="15" xfId="0" quotePrefix="1" applyFont="1" applyFill="1" applyBorder="1"/>
    <xf numFmtId="0" fontId="10" fillId="2" borderId="16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3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15" xfId="1" applyNumberFormat="1" applyFont="1" applyFill="1" applyBorder="1" applyAlignment="1">
      <alignment horizontal="center"/>
    </xf>
    <xf numFmtId="5" fontId="10" fillId="0" borderId="0" xfId="0" applyNumberFormat="1" applyFont="1" applyFill="1" applyAlignment="1">
      <alignment horizontal="center"/>
    </xf>
    <xf numFmtId="5" fontId="2" fillId="3" borderId="7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/>
    <xf numFmtId="10" fontId="7" fillId="0" borderId="0" xfId="0" applyNumberFormat="1" applyFont="1" applyAlignment="1">
      <alignment horizontal="center" wrapText="1"/>
    </xf>
    <xf numFmtId="10" fontId="0" fillId="0" borderId="0" xfId="0" applyNumberFormat="1"/>
    <xf numFmtId="37" fontId="7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6" fillId="0" borderId="0" xfId="0" applyNumberFormat="1" applyFont="1" applyFill="1" applyAlignment="1">
      <alignment horizontal="center"/>
    </xf>
    <xf numFmtId="37" fontId="0" fillId="0" borderId="15" xfId="0" applyNumberFormat="1" applyBorder="1" applyAlignment="1">
      <alignment horizontal="center"/>
    </xf>
    <xf numFmtId="17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/>
    <xf numFmtId="37" fontId="7" fillId="2" borderId="10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/>
    </xf>
    <xf numFmtId="37" fontId="7" fillId="2" borderId="11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/>
    <xf numFmtId="10" fontId="7" fillId="2" borderId="0" xfId="0" applyNumberFormat="1" applyFont="1" applyFill="1" applyBorder="1"/>
    <xf numFmtId="37" fontId="7" fillId="2" borderId="0" xfId="0" applyNumberFormat="1" applyFont="1" applyFill="1" applyBorder="1" applyAlignment="1">
      <alignment horizontal="center"/>
    </xf>
    <xf numFmtId="37" fontId="7" fillId="2" borderId="13" xfId="0" applyNumberFormat="1" applyFont="1" applyFill="1" applyBorder="1" applyAlignment="1">
      <alignment horizontal="center"/>
    </xf>
    <xf numFmtId="17" fontId="7" fillId="2" borderId="12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7" fontId="7" fillId="2" borderId="14" xfId="0" applyNumberFormat="1" applyFont="1" applyFill="1" applyBorder="1" applyAlignment="1">
      <alignment horizontal="center"/>
    </xf>
    <xf numFmtId="0" fontId="7" fillId="2" borderId="15" xfId="0" applyFont="1" applyFill="1" applyBorder="1"/>
    <xf numFmtId="37" fontId="7" fillId="2" borderId="15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37" fontId="7" fillId="2" borderId="16" xfId="0" applyNumberFormat="1" applyFont="1" applyFill="1" applyBorder="1" applyAlignment="1">
      <alignment horizontal="center"/>
    </xf>
    <xf numFmtId="17" fontId="7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7" fillId="0" borderId="17" xfId="0" applyFont="1" applyBorder="1" applyAlignment="1">
      <alignment horizontal="center"/>
    </xf>
    <xf numFmtId="178" fontId="7" fillId="0" borderId="17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7" fillId="0" borderId="17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18" xfId="0" applyNumberFormat="1" applyFill="1" applyBorder="1" applyAlignment="1">
      <alignment horizontal="center"/>
    </xf>
    <xf numFmtId="3" fontId="0" fillId="2" borderId="19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7" fontId="7" fillId="2" borderId="20" xfId="0" applyNumberFormat="1" applyFont="1" applyFill="1" applyBorder="1" applyAlignment="1">
      <alignment horizontal="center" wrapText="1"/>
    </xf>
    <xf numFmtId="10" fontId="0" fillId="0" borderId="0" xfId="3" applyNumberFormat="1" applyFont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4" borderId="0" xfId="0" applyFill="1"/>
    <xf numFmtId="0" fontId="7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7" fillId="4" borderId="0" xfId="0" applyNumberFormat="1" applyFont="1" applyFill="1" applyAlignment="1">
      <alignment horizontal="center"/>
    </xf>
    <xf numFmtId="0" fontId="12" fillId="4" borderId="0" xfId="0" applyFont="1" applyFill="1" applyBorder="1"/>
    <xf numFmtId="0" fontId="7" fillId="4" borderId="0" xfId="0" applyFont="1" applyFill="1" applyAlignment="1">
      <alignment horizontal="center"/>
    </xf>
    <xf numFmtId="38" fontId="0" fillId="5" borderId="9" xfId="0" applyNumberFormat="1" applyFill="1" applyBorder="1" applyAlignment="1">
      <alignment horizontal="center"/>
    </xf>
    <xf numFmtId="38" fontId="0" fillId="5" borderId="10" xfId="0" applyNumberFormat="1" applyFill="1" applyBorder="1" applyAlignment="1">
      <alignment horizontal="center"/>
    </xf>
    <xf numFmtId="38" fontId="0" fillId="5" borderId="18" xfId="0" applyNumberFormat="1" applyFill="1" applyBorder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19" xfId="0" applyNumberFormat="1" applyFill="1" applyBorder="1" applyAlignment="1">
      <alignment horizontal="center"/>
    </xf>
    <xf numFmtId="38" fontId="0" fillId="5" borderId="14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187" fontId="0" fillId="6" borderId="9" xfId="0" applyNumberFormat="1" applyFill="1" applyBorder="1" applyAlignment="1">
      <alignment horizontal="center"/>
    </xf>
    <xf numFmtId="187" fontId="0" fillId="6" borderId="11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3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74" fontId="13" fillId="7" borderId="9" xfId="3" applyNumberFormat="1" applyFont="1" applyFill="1" applyBorder="1" applyAlignment="1">
      <alignment horizontal="center"/>
    </xf>
    <xf numFmtId="174" fontId="13" fillId="7" borderId="12" xfId="3" applyNumberFormat="1" applyFont="1" applyFill="1" applyBorder="1" applyAlignment="1">
      <alignment horizontal="center"/>
    </xf>
    <xf numFmtId="174" fontId="13" fillId="7" borderId="14" xfId="3" applyNumberFormat="1" applyFont="1" applyFill="1" applyBorder="1" applyAlignment="1">
      <alignment horizontal="center"/>
    </xf>
    <xf numFmtId="0" fontId="0" fillId="0" borderId="0" xfId="0" applyFill="1" applyBorder="1"/>
    <xf numFmtId="5" fontId="0" fillId="2" borderId="18" xfId="0" applyNumberFormat="1" applyFill="1" applyBorder="1" applyAlignment="1">
      <alignment horizontal="center"/>
    </xf>
    <xf numFmtId="5" fontId="0" fillId="2" borderId="19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4" fontId="7" fillId="4" borderId="2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70" fontId="12" fillId="4" borderId="20" xfId="0" applyNumberFormat="1" applyFont="1" applyFill="1" applyBorder="1" applyAlignment="1">
      <alignment horizontal="center"/>
    </xf>
    <xf numFmtId="6" fontId="0" fillId="8" borderId="9" xfId="0" applyNumberFormat="1" applyFill="1" applyBorder="1" applyAlignment="1">
      <alignment horizontal="center"/>
    </xf>
    <xf numFmtId="6" fontId="0" fillId="8" borderId="10" xfId="0" applyNumberForma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4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38" fontId="0" fillId="7" borderId="11" xfId="0" applyNumberFormat="1" applyFill="1" applyBorder="1" applyAlignment="1">
      <alignment horizontal="center"/>
    </xf>
    <xf numFmtId="38" fontId="0" fillId="7" borderId="13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6" fontId="0" fillId="2" borderId="18" xfId="0" applyNumberFormat="1" applyFill="1" applyBorder="1" applyAlignment="1">
      <alignment horizontal="center"/>
    </xf>
    <xf numFmtId="6" fontId="0" fillId="2" borderId="19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192" fontId="12" fillId="4" borderId="20" xfId="0" applyNumberFormat="1" applyFont="1" applyFill="1" applyBorder="1" applyAlignment="1">
      <alignment horizontal="center"/>
    </xf>
    <xf numFmtId="6" fontId="14" fillId="4" borderId="4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38" fontId="14" fillId="4" borderId="4" xfId="0" applyNumberFormat="1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7" fillId="9" borderId="14" xfId="0" applyFont="1" applyFill="1" applyBorder="1" applyAlignment="1">
      <alignment horizontal="center" wrapText="1"/>
    </xf>
    <xf numFmtId="0" fontId="7" fillId="9" borderId="15" xfId="0" applyFont="1" applyFill="1" applyBorder="1" applyAlignment="1">
      <alignment horizontal="center" wrapText="1"/>
    </xf>
    <xf numFmtId="0" fontId="7" fillId="9" borderId="10" xfId="0" applyFont="1" applyFill="1" applyBorder="1" applyAlignment="1">
      <alignment horizontal="center"/>
    </xf>
    <xf numFmtId="6" fontId="15" fillId="10" borderId="20" xfId="0" applyNumberFormat="1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 wrapText="1"/>
    </xf>
    <xf numFmtId="38" fontId="0" fillId="7" borderId="19" xfId="0" applyNumberFormat="1" applyFill="1" applyBorder="1" applyAlignment="1">
      <alignment horizontal="center"/>
    </xf>
    <xf numFmtId="38" fontId="0" fillId="7" borderId="21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198" fontId="0" fillId="11" borderId="3" xfId="0" applyNumberFormat="1" applyFill="1" applyBorder="1" applyAlignment="1">
      <alignment horizontal="center"/>
    </xf>
    <xf numFmtId="198" fontId="0" fillId="11" borderId="4" xfId="0" applyNumberFormat="1" applyFill="1" applyBorder="1" applyAlignment="1">
      <alignment horizontal="center"/>
    </xf>
    <xf numFmtId="6" fontId="14" fillId="10" borderId="11" xfId="0" applyNumberFormat="1" applyFont="1" applyFill="1" applyBorder="1" applyAlignment="1">
      <alignment horizontal="center"/>
    </xf>
    <xf numFmtId="6" fontId="14" fillId="10" borderId="13" xfId="0" applyNumberFormat="1" applyFont="1" applyFill="1" applyBorder="1" applyAlignment="1">
      <alignment horizontal="center"/>
    </xf>
    <xf numFmtId="6" fontId="14" fillId="10" borderId="16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/>
    <xf numFmtId="37" fontId="7" fillId="2" borderId="4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37" fontId="7" fillId="2" borderId="5" xfId="0" applyNumberFormat="1" applyFont="1" applyFill="1" applyBorder="1" applyAlignment="1">
      <alignment horizontal="center"/>
    </xf>
    <xf numFmtId="6" fontId="0" fillId="7" borderId="11" xfId="0" applyNumberFormat="1" applyFill="1" applyBorder="1" applyAlignment="1">
      <alignment horizontal="center"/>
    </xf>
    <xf numFmtId="6" fontId="0" fillId="7" borderId="13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09" fontId="0" fillId="4" borderId="4" xfId="0" applyNumberFormat="1" applyFill="1" applyBorder="1" applyAlignment="1">
      <alignment horizontal="center"/>
    </xf>
    <xf numFmtId="209" fontId="14" fillId="10" borderId="20" xfId="0" applyNumberFormat="1" applyFont="1" applyFill="1" applyBorder="1" applyAlignment="1">
      <alignment horizontal="center"/>
    </xf>
    <xf numFmtId="38" fontId="0" fillId="7" borderId="9" xfId="0" applyNumberFormat="1" applyFill="1" applyBorder="1" applyAlignment="1">
      <alignment horizontal="center"/>
    </xf>
    <xf numFmtId="38" fontId="0" fillId="7" borderId="12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0" fontId="7" fillId="9" borderId="3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209" fontId="0" fillId="4" borderId="5" xfId="0" applyNumberFormat="1" applyFill="1" applyBorder="1" applyAlignment="1">
      <alignment horizontal="center"/>
    </xf>
    <xf numFmtId="6" fontId="0" fillId="4" borderId="0" xfId="0" applyNumberFormat="1" applyFill="1"/>
    <xf numFmtId="198" fontId="0" fillId="11" borderId="20" xfId="0" applyNumberFormat="1" applyFill="1" applyBorder="1" applyAlignment="1">
      <alignment horizontal="center"/>
    </xf>
    <xf numFmtId="0" fontId="7" fillId="9" borderId="20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6" fontId="0" fillId="5" borderId="9" xfId="0" applyNumberFormat="1" applyFill="1" applyBorder="1" applyAlignment="1">
      <alignment horizontal="center"/>
    </xf>
    <xf numFmtId="6" fontId="0" fillId="5" borderId="12" xfId="0" applyNumberFormat="1" applyFill="1" applyBorder="1" applyAlignment="1">
      <alignment horizontal="center"/>
    </xf>
    <xf numFmtId="6" fontId="0" fillId="5" borderId="14" xfId="0" applyNumberFormat="1" applyFill="1" applyBorder="1" applyAlignment="1">
      <alignment horizontal="center"/>
    </xf>
    <xf numFmtId="190" fontId="0" fillId="7" borderId="10" xfId="0" applyNumberFormat="1" applyFill="1" applyBorder="1" applyAlignment="1">
      <alignment horizontal="center"/>
    </xf>
    <xf numFmtId="190" fontId="0" fillId="7" borderId="0" xfId="0" applyNumberFormat="1" applyFill="1" applyBorder="1" applyAlignment="1">
      <alignment horizontal="center"/>
    </xf>
    <xf numFmtId="190" fontId="0" fillId="7" borderId="15" xfId="0" applyNumberFormat="1" applyFill="1" applyBorder="1" applyAlignment="1">
      <alignment horizontal="center"/>
    </xf>
    <xf numFmtId="0" fontId="15" fillId="4" borderId="0" xfId="0" applyFont="1" applyFill="1"/>
    <xf numFmtId="38" fontId="0" fillId="5" borderId="11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170" fontId="12" fillId="4" borderId="0" xfId="0" applyNumberFormat="1" applyFont="1" applyFill="1" applyBorder="1" applyAlignment="1">
      <alignment horizontal="center"/>
    </xf>
    <xf numFmtId="198" fontId="0" fillId="11" borderId="14" xfId="0" applyNumberFormat="1" applyFill="1" applyBorder="1" applyAlignment="1">
      <alignment horizontal="center"/>
    </xf>
    <xf numFmtId="198" fontId="0" fillId="11" borderId="15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7" fillId="4" borderId="0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6" xfId="0" applyFont="1" applyFill="1" applyBorder="1" applyAlignment="1">
      <alignment horizontal="center" wrapText="1"/>
    </xf>
    <xf numFmtId="0" fontId="7" fillId="10" borderId="18" xfId="0" applyFont="1" applyFill="1" applyBorder="1"/>
    <xf numFmtId="38" fontId="17" fillId="4" borderId="20" xfId="0" applyNumberFormat="1" applyFont="1" applyFill="1" applyBorder="1" applyAlignment="1">
      <alignment horizontal="center"/>
    </xf>
    <xf numFmtId="38" fontId="17" fillId="4" borderId="21" xfId="0" applyNumberFormat="1" applyFont="1" applyFill="1" applyBorder="1" applyAlignment="1">
      <alignment horizontal="center"/>
    </xf>
    <xf numFmtId="38" fontId="17" fillId="4" borderId="0" xfId="0" applyNumberFormat="1" applyFont="1" applyFill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8" fontId="0" fillId="4" borderId="0" xfId="0" applyNumberFormat="1" applyFill="1"/>
    <xf numFmtId="170" fontId="0" fillId="4" borderId="0" xfId="0" applyNumberFormat="1" applyFill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180975</xdr:colOff>
          <xdr:row>16</xdr:row>
          <xdr:rowOff>190500</xdr:rowOff>
        </xdr:from>
        <xdr:to>
          <xdr:col>8</xdr:col>
          <xdr:colOff>752475</xdr:colOff>
          <xdr:row>20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11B4742-8ED1-0939-EC7F-809074C93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16</xdr:row>
          <xdr:rowOff>152400</xdr:rowOff>
        </xdr:from>
        <xdr:to>
          <xdr:col>8</xdr:col>
          <xdr:colOff>628650</xdr:colOff>
          <xdr:row>21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1B225DD-FDAE-2A7E-0F42-4D0D206E3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390525</xdr:colOff>
          <xdr:row>22</xdr:row>
          <xdr:rowOff>142875</xdr:rowOff>
        </xdr:from>
        <xdr:to>
          <xdr:col>7</xdr:col>
          <xdr:colOff>952500</xdr:colOff>
          <xdr:row>26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C50934C-EE45-09B6-FCF5-93551EA38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6"/>
  <sheetViews>
    <sheetView topLeftCell="A15" workbookViewId="0">
      <selection activeCell="L22" activeCellId="2" sqref="F22 J22 L22"/>
    </sheetView>
  </sheetViews>
  <sheetFormatPr defaultRowHeight="12.75" x14ac:dyDescent="0.2"/>
  <cols>
    <col min="2" max="2" width="9.140625" style="102"/>
    <col min="3" max="4" width="12.28515625" bestFit="1" customWidth="1"/>
    <col min="5" max="5" width="9.85546875" customWidth="1"/>
    <col min="6" max="6" width="9.7109375" bestFit="1" customWidth="1"/>
    <col min="7" max="7" width="10.140625" bestFit="1" customWidth="1"/>
    <col min="8" max="8" width="10.7109375" bestFit="1" customWidth="1"/>
    <col min="10" max="10" width="10.85546875" customWidth="1"/>
    <col min="11" max="11" width="10.28515625" customWidth="1"/>
    <col min="12" max="13" width="10.140625" bestFit="1" customWidth="1"/>
  </cols>
  <sheetData>
    <row r="1" spans="1:10" s="69" customFormat="1" ht="15.75" x14ac:dyDescent="0.25">
      <c r="A1" s="243" t="s">
        <v>79</v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s="69" customFormat="1" ht="13.5" thickBot="1" x14ac:dyDescent="0.25">
      <c r="A2" s="103" t="s">
        <v>5</v>
      </c>
      <c r="B2" s="104" t="s">
        <v>8</v>
      </c>
      <c r="C2" s="103" t="s">
        <v>1</v>
      </c>
      <c r="D2" s="103" t="s">
        <v>2</v>
      </c>
      <c r="E2" s="105" t="s">
        <v>3</v>
      </c>
      <c r="F2" s="103" t="s">
        <v>33</v>
      </c>
      <c r="G2" s="103" t="s">
        <v>34</v>
      </c>
      <c r="H2" s="105" t="s">
        <v>35</v>
      </c>
      <c r="J2" s="105" t="s">
        <v>78</v>
      </c>
    </row>
    <row r="3" spans="1:10" s="69" customFormat="1" x14ac:dyDescent="0.2">
      <c r="A3" s="98">
        <v>36647</v>
      </c>
      <c r="B3" s="102">
        <v>31</v>
      </c>
      <c r="C3" s="77">
        <v>37500</v>
      </c>
      <c r="D3" s="77">
        <v>112500</v>
      </c>
      <c r="E3" s="106">
        <v>75000</v>
      </c>
      <c r="F3" s="77">
        <f>+C3*$B3</f>
        <v>1162500</v>
      </c>
      <c r="G3" s="77">
        <f>+D3*$B3</f>
        <v>3487500</v>
      </c>
      <c r="H3" s="106">
        <f>+E3*$B3</f>
        <v>2325000</v>
      </c>
      <c r="J3" s="106">
        <f>0.05*H3</f>
        <v>116250</v>
      </c>
    </row>
    <row r="4" spans="1:10" s="69" customFormat="1" x14ac:dyDescent="0.2">
      <c r="A4" s="98">
        <v>36678</v>
      </c>
      <c r="B4" s="102">
        <v>30</v>
      </c>
      <c r="C4" s="77">
        <v>37500</v>
      </c>
      <c r="D4" s="77">
        <v>112500</v>
      </c>
      <c r="E4" s="106">
        <v>75000</v>
      </c>
      <c r="F4" s="77">
        <f t="shared" ref="F4:F16" si="0">+C4*$B4</f>
        <v>1125000</v>
      </c>
      <c r="G4" s="77">
        <f t="shared" ref="G4:G16" si="1">+D4*$B4</f>
        <v>3375000</v>
      </c>
      <c r="H4" s="106">
        <f t="shared" ref="H4:H16" si="2">+E4*$B4</f>
        <v>2250000</v>
      </c>
      <c r="J4" s="106">
        <f t="shared" ref="J4:J16" si="3">0.05*H4</f>
        <v>112500</v>
      </c>
    </row>
    <row r="5" spans="1:10" s="69" customFormat="1" x14ac:dyDescent="0.2">
      <c r="A5" s="98">
        <v>36708</v>
      </c>
      <c r="B5" s="102">
        <v>31</v>
      </c>
      <c r="C5" s="77">
        <v>50000</v>
      </c>
      <c r="D5" s="77">
        <v>150000</v>
      </c>
      <c r="E5" s="106">
        <v>100000</v>
      </c>
      <c r="F5" s="77">
        <f t="shared" si="0"/>
        <v>1550000</v>
      </c>
      <c r="G5" s="77">
        <f t="shared" si="1"/>
        <v>4650000</v>
      </c>
      <c r="H5" s="106">
        <f t="shared" si="2"/>
        <v>3100000</v>
      </c>
      <c r="J5" s="106">
        <f t="shared" si="3"/>
        <v>155000</v>
      </c>
    </row>
    <row r="6" spans="1:10" s="69" customFormat="1" x14ac:dyDescent="0.2">
      <c r="A6" s="98">
        <v>36739</v>
      </c>
      <c r="B6" s="102">
        <v>31</v>
      </c>
      <c r="C6" s="77">
        <v>50000</v>
      </c>
      <c r="D6" s="77">
        <v>150000</v>
      </c>
      <c r="E6" s="106">
        <v>100000</v>
      </c>
      <c r="F6" s="77">
        <f t="shared" si="0"/>
        <v>1550000</v>
      </c>
      <c r="G6" s="77">
        <f t="shared" si="1"/>
        <v>4650000</v>
      </c>
      <c r="H6" s="106">
        <f t="shared" si="2"/>
        <v>3100000</v>
      </c>
      <c r="J6" s="106">
        <f t="shared" si="3"/>
        <v>155000</v>
      </c>
    </row>
    <row r="7" spans="1:10" s="69" customFormat="1" x14ac:dyDescent="0.2">
      <c r="A7" s="98">
        <v>36770</v>
      </c>
      <c r="B7" s="102">
        <v>30</v>
      </c>
      <c r="C7" s="77">
        <v>50000</v>
      </c>
      <c r="D7" s="77">
        <v>150000</v>
      </c>
      <c r="E7" s="106">
        <v>100000</v>
      </c>
      <c r="F7" s="77">
        <f t="shared" si="0"/>
        <v>1500000</v>
      </c>
      <c r="G7" s="77">
        <f t="shared" si="1"/>
        <v>4500000</v>
      </c>
      <c r="H7" s="106">
        <f t="shared" si="2"/>
        <v>3000000</v>
      </c>
      <c r="J7" s="106">
        <f t="shared" si="3"/>
        <v>150000</v>
      </c>
    </row>
    <row r="8" spans="1:10" s="69" customFormat="1" x14ac:dyDescent="0.2">
      <c r="A8" s="98">
        <v>36800</v>
      </c>
      <c r="B8" s="102">
        <v>31</v>
      </c>
      <c r="C8" s="77">
        <v>0</v>
      </c>
      <c r="D8" s="77">
        <v>67500</v>
      </c>
      <c r="E8" s="106">
        <v>45000</v>
      </c>
      <c r="F8" s="77">
        <f t="shared" si="0"/>
        <v>0</v>
      </c>
      <c r="G8" s="77">
        <f t="shared" si="1"/>
        <v>2092500</v>
      </c>
      <c r="H8" s="106">
        <f t="shared" si="2"/>
        <v>1395000</v>
      </c>
      <c r="J8" s="106">
        <f t="shared" si="3"/>
        <v>69750</v>
      </c>
    </row>
    <row r="9" spans="1:10" s="69" customFormat="1" x14ac:dyDescent="0.2">
      <c r="A9" s="98">
        <v>36831</v>
      </c>
      <c r="B9" s="102">
        <v>30</v>
      </c>
      <c r="C9" s="77">
        <v>0</v>
      </c>
      <c r="D9" s="77">
        <v>67500</v>
      </c>
      <c r="E9" s="106">
        <v>45000</v>
      </c>
      <c r="F9" s="77">
        <f t="shared" si="0"/>
        <v>0</v>
      </c>
      <c r="G9" s="77">
        <f t="shared" si="1"/>
        <v>2025000</v>
      </c>
      <c r="H9" s="106">
        <f t="shared" si="2"/>
        <v>1350000</v>
      </c>
      <c r="J9" s="106">
        <f t="shared" si="3"/>
        <v>67500</v>
      </c>
    </row>
    <row r="10" spans="1:10" s="69" customFormat="1" x14ac:dyDescent="0.2">
      <c r="A10" s="98">
        <v>36861</v>
      </c>
      <c r="B10" s="102">
        <v>31</v>
      </c>
      <c r="C10" s="77">
        <v>0</v>
      </c>
      <c r="D10" s="77">
        <v>67500</v>
      </c>
      <c r="E10" s="106">
        <v>45000</v>
      </c>
      <c r="F10" s="77">
        <f t="shared" si="0"/>
        <v>0</v>
      </c>
      <c r="G10" s="77">
        <f t="shared" si="1"/>
        <v>2092500</v>
      </c>
      <c r="H10" s="106">
        <f t="shared" si="2"/>
        <v>1395000</v>
      </c>
      <c r="J10" s="106">
        <f t="shared" si="3"/>
        <v>69750</v>
      </c>
    </row>
    <row r="11" spans="1:10" s="69" customFormat="1" x14ac:dyDescent="0.2">
      <c r="A11" s="98">
        <v>36892</v>
      </c>
      <c r="B11" s="102">
        <v>31</v>
      </c>
      <c r="C11" s="77">
        <v>0</v>
      </c>
      <c r="D11" s="77">
        <v>67500</v>
      </c>
      <c r="E11" s="106">
        <v>45000</v>
      </c>
      <c r="F11" s="77">
        <f t="shared" si="0"/>
        <v>0</v>
      </c>
      <c r="G11" s="77">
        <f t="shared" si="1"/>
        <v>2092500</v>
      </c>
      <c r="H11" s="106">
        <f t="shared" si="2"/>
        <v>1395000</v>
      </c>
      <c r="J11" s="106">
        <f t="shared" si="3"/>
        <v>69750</v>
      </c>
    </row>
    <row r="12" spans="1:10" s="69" customFormat="1" x14ac:dyDescent="0.2">
      <c r="A12" s="98">
        <v>36923</v>
      </c>
      <c r="B12" s="102">
        <v>28</v>
      </c>
      <c r="C12" s="77">
        <v>0</v>
      </c>
      <c r="D12" s="77">
        <v>67500</v>
      </c>
      <c r="E12" s="106">
        <v>45000</v>
      </c>
      <c r="F12" s="77">
        <f t="shared" si="0"/>
        <v>0</v>
      </c>
      <c r="G12" s="77">
        <f t="shared" si="1"/>
        <v>1890000</v>
      </c>
      <c r="H12" s="106">
        <f t="shared" si="2"/>
        <v>1260000</v>
      </c>
      <c r="J12" s="106">
        <f t="shared" si="3"/>
        <v>63000</v>
      </c>
    </row>
    <row r="13" spans="1:10" s="69" customFormat="1" x14ac:dyDescent="0.2">
      <c r="A13" s="98">
        <v>36951</v>
      </c>
      <c r="B13" s="102">
        <v>31</v>
      </c>
      <c r="C13" s="77">
        <v>0</v>
      </c>
      <c r="D13" s="77">
        <v>67500</v>
      </c>
      <c r="E13" s="106">
        <v>45000</v>
      </c>
      <c r="F13" s="77">
        <f t="shared" si="0"/>
        <v>0</v>
      </c>
      <c r="G13" s="77">
        <f t="shared" si="1"/>
        <v>2092500</v>
      </c>
      <c r="H13" s="106">
        <f t="shared" si="2"/>
        <v>1395000</v>
      </c>
      <c r="J13" s="106">
        <f t="shared" si="3"/>
        <v>69750</v>
      </c>
    </row>
    <row r="14" spans="1:10" s="69" customFormat="1" x14ac:dyDescent="0.2">
      <c r="A14" s="98">
        <v>36982</v>
      </c>
      <c r="B14" s="102">
        <v>30</v>
      </c>
      <c r="C14" s="77">
        <v>0</v>
      </c>
      <c r="D14" s="77">
        <v>67500</v>
      </c>
      <c r="E14" s="106">
        <v>45000</v>
      </c>
      <c r="F14" s="77">
        <f t="shared" si="0"/>
        <v>0</v>
      </c>
      <c r="G14" s="77">
        <f t="shared" si="1"/>
        <v>2025000</v>
      </c>
      <c r="H14" s="106">
        <f t="shared" si="2"/>
        <v>1350000</v>
      </c>
      <c r="J14" s="106">
        <f t="shared" si="3"/>
        <v>67500</v>
      </c>
    </row>
    <row r="15" spans="1:10" s="69" customFormat="1" x14ac:dyDescent="0.2">
      <c r="A15" s="98">
        <v>37012</v>
      </c>
      <c r="B15" s="102">
        <v>31</v>
      </c>
      <c r="C15" s="77">
        <f>+C3</f>
        <v>37500</v>
      </c>
      <c r="D15" s="77">
        <f>+D3</f>
        <v>112500</v>
      </c>
      <c r="E15" s="106">
        <f>+E3</f>
        <v>75000</v>
      </c>
      <c r="F15" s="77">
        <f t="shared" si="0"/>
        <v>1162500</v>
      </c>
      <c r="G15" s="77">
        <f t="shared" si="1"/>
        <v>3487500</v>
      </c>
      <c r="H15" s="106">
        <f t="shared" si="2"/>
        <v>2325000</v>
      </c>
      <c r="J15" s="106">
        <f t="shared" si="3"/>
        <v>116250</v>
      </c>
    </row>
    <row r="16" spans="1:10" x14ac:dyDescent="0.2">
      <c r="A16" s="98">
        <v>37043</v>
      </c>
      <c r="B16" s="102">
        <v>30</v>
      </c>
      <c r="C16" s="77">
        <f>+C3</f>
        <v>37500</v>
      </c>
      <c r="D16" s="77">
        <f>+D3</f>
        <v>112500</v>
      </c>
      <c r="E16" s="106">
        <f>+E3</f>
        <v>75000</v>
      </c>
      <c r="F16" s="77">
        <f t="shared" si="0"/>
        <v>1125000</v>
      </c>
      <c r="G16" s="77">
        <f t="shared" si="1"/>
        <v>3375000</v>
      </c>
      <c r="H16" s="106">
        <f t="shared" si="2"/>
        <v>2250000</v>
      </c>
      <c r="I16" s="69"/>
      <c r="J16" s="106">
        <f t="shared" si="3"/>
        <v>112500</v>
      </c>
    </row>
    <row r="17" spans="1:17" x14ac:dyDescent="0.2">
      <c r="H17" s="76">
        <f>SUM(H3:H16)</f>
        <v>27890000</v>
      </c>
    </row>
    <row r="20" spans="1:17" ht="15.75" x14ac:dyDescent="0.25">
      <c r="A20" s="243" t="s">
        <v>81</v>
      </c>
      <c r="B20" s="243"/>
      <c r="C20" s="243"/>
      <c r="D20" s="243"/>
      <c r="E20" s="243"/>
      <c r="F20" s="243"/>
      <c r="G20" s="243"/>
      <c r="H20" s="243"/>
      <c r="J20" s="244" t="s">
        <v>82</v>
      </c>
      <c r="K20" s="244"/>
      <c r="L20" s="244"/>
    </row>
    <row r="21" spans="1:17" ht="39" thickBot="1" x14ac:dyDescent="0.25">
      <c r="A21" s="103" t="s">
        <v>5</v>
      </c>
      <c r="B21" s="104" t="s">
        <v>8</v>
      </c>
      <c r="C21" s="109" t="s">
        <v>65</v>
      </c>
      <c r="D21" s="109" t="s">
        <v>111</v>
      </c>
      <c r="E21" s="109" t="s">
        <v>66</v>
      </c>
      <c r="F21" s="109" t="s">
        <v>111</v>
      </c>
      <c r="G21" s="109" t="s">
        <v>67</v>
      </c>
      <c r="H21" s="109" t="s">
        <v>111</v>
      </c>
      <c r="I21" s="109" t="s">
        <v>68</v>
      </c>
      <c r="J21" s="109" t="s">
        <v>111</v>
      </c>
      <c r="K21" s="109" t="s">
        <v>69</v>
      </c>
      <c r="L21" s="109" t="s">
        <v>111</v>
      </c>
      <c r="M21" s="118" t="s">
        <v>80</v>
      </c>
      <c r="O21" s="109" t="s">
        <v>76</v>
      </c>
      <c r="P21" s="109" t="s">
        <v>31</v>
      </c>
      <c r="Q21" s="118" t="s">
        <v>80</v>
      </c>
    </row>
    <row r="22" spans="1:17" x14ac:dyDescent="0.2">
      <c r="A22" s="98">
        <v>36647</v>
      </c>
      <c r="B22" s="102">
        <v>31</v>
      </c>
      <c r="C22" s="110">
        <f>+$E3*$B22*'Historical Flow'!$D$19</f>
        <v>745720.61500256089</v>
      </c>
      <c r="D22" s="110">
        <f>+C22/$B22</f>
        <v>24055.503709760029</v>
      </c>
      <c r="E22" s="110">
        <f>+$E3*$B22*'Historical Flow'!$F$19</f>
        <v>156623.66983968666</v>
      </c>
      <c r="F22" s="110">
        <f>+E22/$B22</f>
        <v>5052.3764464415053</v>
      </c>
      <c r="G22" s="110">
        <f>+$E3*$B22*'Historical Flow'!$H$19</f>
        <v>1297616.0207320307</v>
      </c>
      <c r="H22" s="110">
        <f t="shared" ref="H22:H33" si="4">+G22/$B22</f>
        <v>41858.581313936476</v>
      </c>
      <c r="I22" s="110">
        <f>+$E3*$B22*'Historical Flow'!$J$19</f>
        <v>72883.395581341174</v>
      </c>
      <c r="J22" s="110">
        <f t="shared" ref="J22:J33" si="5">+I22/$B22</f>
        <v>2351.077276817457</v>
      </c>
      <c r="K22" s="110">
        <f>+$E3*$B22*'Historical Flow'!$L$19</f>
        <v>52156.298844380464</v>
      </c>
      <c r="L22" s="110">
        <f t="shared" ref="L22:L33" si="6">+K22/$B22</f>
        <v>1682.4612530445311</v>
      </c>
      <c r="M22" s="111">
        <f t="shared" ref="M22:M33" si="7">+C22+E22+G22+I22+K22</f>
        <v>2325000</v>
      </c>
      <c r="O22" s="110">
        <f t="shared" ref="O22:O33" si="8">+C22+G22</f>
        <v>2043336.6357345916</v>
      </c>
      <c r="P22" s="110">
        <f>+M22-O22</f>
        <v>281663.36426540837</v>
      </c>
      <c r="Q22" s="111">
        <f t="shared" ref="Q22:Q33" si="9">SUM(O22:P22)</f>
        <v>2325000</v>
      </c>
    </row>
    <row r="23" spans="1:17" x14ac:dyDescent="0.2">
      <c r="A23" s="98">
        <v>36678</v>
      </c>
      <c r="B23" s="102">
        <v>30</v>
      </c>
      <c r="C23" s="110">
        <f>+$E4*$B23*'Historical Flow'!$D$19</f>
        <v>721665.11129280087</v>
      </c>
      <c r="D23" s="110">
        <f t="shared" ref="D23:F33" si="10">+C23/$B23</f>
        <v>24055.503709760029</v>
      </c>
      <c r="E23" s="110">
        <f>+$E4*$B23*'Historical Flow'!$F$19</f>
        <v>151571.29339324514</v>
      </c>
      <c r="F23" s="110">
        <f t="shared" si="10"/>
        <v>5052.3764464415044</v>
      </c>
      <c r="G23" s="110">
        <f>+$E4*$B23*'Historical Flow'!$H$19</f>
        <v>1255757.4394180942</v>
      </c>
      <c r="H23" s="110">
        <f t="shared" si="4"/>
        <v>41858.581313936476</v>
      </c>
      <c r="I23" s="110">
        <f>+$E4*$B23*'Historical Flow'!$J$19</f>
        <v>70532.318304523709</v>
      </c>
      <c r="J23" s="110">
        <f t="shared" si="5"/>
        <v>2351.077276817457</v>
      </c>
      <c r="K23" s="110">
        <f>+$E4*$B23*'Historical Flow'!$L$19</f>
        <v>50473.837591335934</v>
      </c>
      <c r="L23" s="110">
        <f t="shared" si="6"/>
        <v>1682.4612530445311</v>
      </c>
      <c r="M23" s="111">
        <f t="shared" si="7"/>
        <v>2250000</v>
      </c>
      <c r="O23" s="110">
        <f t="shared" si="8"/>
        <v>1977422.5507108951</v>
      </c>
      <c r="P23" s="110">
        <f t="shared" ref="P23:P33" si="11">+M23-O23</f>
        <v>272577.4492891049</v>
      </c>
      <c r="Q23" s="112">
        <f t="shared" si="9"/>
        <v>2250000</v>
      </c>
    </row>
    <row r="24" spans="1:17" x14ac:dyDescent="0.2">
      <c r="A24" s="98">
        <v>36708</v>
      </c>
      <c r="B24" s="102">
        <v>31</v>
      </c>
      <c r="C24" s="110">
        <f>+$E5*$B24*'Historical Flow'!$D$19</f>
        <v>994294.1533367479</v>
      </c>
      <c r="D24" s="110">
        <f t="shared" si="10"/>
        <v>32074.004946346708</v>
      </c>
      <c r="E24" s="110">
        <f>+$E5*$B24*'Historical Flow'!$F$19</f>
        <v>208831.55978624886</v>
      </c>
      <c r="F24" s="110">
        <f t="shared" si="10"/>
        <v>6736.5019285886729</v>
      </c>
      <c r="G24" s="110">
        <f>+$E5*$B24*'Historical Flow'!$H$19</f>
        <v>1730154.6943093743</v>
      </c>
      <c r="H24" s="110">
        <f t="shared" si="4"/>
        <v>55811.441751915299</v>
      </c>
      <c r="I24" s="110">
        <f>+$E5*$B24*'Historical Flow'!$J$19</f>
        <v>97177.86077512156</v>
      </c>
      <c r="J24" s="110">
        <f t="shared" si="5"/>
        <v>3134.7697024232762</v>
      </c>
      <c r="K24" s="110">
        <f>+$E5*$B24*'Historical Flow'!$L$19</f>
        <v>69541.731792507286</v>
      </c>
      <c r="L24" s="110">
        <f t="shared" si="6"/>
        <v>2243.2816707260413</v>
      </c>
      <c r="M24" s="111">
        <f t="shared" si="7"/>
        <v>3099999.9999999995</v>
      </c>
      <c r="O24" s="110">
        <f t="shared" si="8"/>
        <v>2724448.8476461223</v>
      </c>
      <c r="P24" s="110">
        <f t="shared" si="11"/>
        <v>375551.1523538772</v>
      </c>
      <c r="Q24" s="112">
        <f t="shared" si="9"/>
        <v>3099999.9999999995</v>
      </c>
    </row>
    <row r="25" spans="1:17" x14ac:dyDescent="0.2">
      <c r="A25" s="98">
        <v>36739</v>
      </c>
      <c r="B25" s="102">
        <v>31</v>
      </c>
      <c r="C25" s="110">
        <f>+$E6*$B25*'Historical Flow'!$D$19</f>
        <v>994294.1533367479</v>
      </c>
      <c r="D25" s="110">
        <f t="shared" si="10"/>
        <v>32074.004946346708</v>
      </c>
      <c r="E25" s="110">
        <f>+$E6*$B25*'Historical Flow'!$F$19</f>
        <v>208831.55978624886</v>
      </c>
      <c r="F25" s="110">
        <f t="shared" si="10"/>
        <v>6736.5019285886729</v>
      </c>
      <c r="G25" s="110">
        <f>+$E6*$B25*'Historical Flow'!$H$19</f>
        <v>1730154.6943093743</v>
      </c>
      <c r="H25" s="110">
        <f t="shared" si="4"/>
        <v>55811.441751915299</v>
      </c>
      <c r="I25" s="110">
        <f>+$E6*$B25*'Historical Flow'!$J$19</f>
        <v>97177.86077512156</v>
      </c>
      <c r="J25" s="110">
        <f t="shared" si="5"/>
        <v>3134.7697024232762</v>
      </c>
      <c r="K25" s="110">
        <f>+$E6*$B25*'Historical Flow'!$L$19</f>
        <v>69541.731792507286</v>
      </c>
      <c r="L25" s="110">
        <f t="shared" si="6"/>
        <v>2243.2816707260413</v>
      </c>
      <c r="M25" s="111">
        <f t="shared" si="7"/>
        <v>3099999.9999999995</v>
      </c>
      <c r="O25" s="110">
        <f t="shared" si="8"/>
        <v>2724448.8476461223</v>
      </c>
      <c r="P25" s="110">
        <f t="shared" si="11"/>
        <v>375551.1523538772</v>
      </c>
      <c r="Q25" s="112">
        <f t="shared" si="9"/>
        <v>3099999.9999999995</v>
      </c>
    </row>
    <row r="26" spans="1:17" x14ac:dyDescent="0.2">
      <c r="A26" s="98">
        <v>36770</v>
      </c>
      <c r="B26" s="102">
        <v>30</v>
      </c>
      <c r="C26" s="110">
        <f>+$E7*$B26*'Historical Flow'!$D$19</f>
        <v>962220.14839040115</v>
      </c>
      <c r="D26" s="110">
        <f t="shared" si="10"/>
        <v>32074.004946346704</v>
      </c>
      <c r="E26" s="110">
        <f>+$E7*$B26*'Historical Flow'!$F$19</f>
        <v>202095.0578576602</v>
      </c>
      <c r="F26" s="110">
        <f t="shared" si="10"/>
        <v>6736.5019285886729</v>
      </c>
      <c r="G26" s="110">
        <f>+$E7*$B26*'Historical Flow'!$H$19</f>
        <v>1674343.2525574591</v>
      </c>
      <c r="H26" s="110">
        <f t="shared" si="4"/>
        <v>55811.441751915299</v>
      </c>
      <c r="I26" s="110">
        <f>+$E7*$B26*'Historical Flow'!$J$19</f>
        <v>94043.091072698284</v>
      </c>
      <c r="J26" s="110">
        <f t="shared" si="5"/>
        <v>3134.7697024232762</v>
      </c>
      <c r="K26" s="110">
        <f>+$E7*$B26*'Historical Flow'!$L$19</f>
        <v>67298.45012178125</v>
      </c>
      <c r="L26" s="110">
        <f t="shared" si="6"/>
        <v>2243.2816707260417</v>
      </c>
      <c r="M26" s="111">
        <f t="shared" si="7"/>
        <v>2999999.9999999995</v>
      </c>
      <c r="O26" s="110">
        <f t="shared" si="8"/>
        <v>2636563.4009478604</v>
      </c>
      <c r="P26" s="110">
        <f t="shared" si="11"/>
        <v>363436.59905213909</v>
      </c>
      <c r="Q26" s="112">
        <f t="shared" si="9"/>
        <v>2999999.9999999995</v>
      </c>
    </row>
    <row r="27" spans="1:17" x14ac:dyDescent="0.2">
      <c r="A27" s="98">
        <v>36800</v>
      </c>
      <c r="B27" s="102">
        <v>31</v>
      </c>
      <c r="C27" s="110">
        <f>+$E8*$B27*'Historical Flow'!$D$19</f>
        <v>447432.36900153657</v>
      </c>
      <c r="D27" s="110">
        <f t="shared" si="10"/>
        <v>14433.302225856018</v>
      </c>
      <c r="E27" s="110">
        <f>+$E8*$B27*'Historical Flow'!$F$19</f>
        <v>93974.201903811991</v>
      </c>
      <c r="F27" s="110">
        <f t="shared" si="10"/>
        <v>3031.425867864903</v>
      </c>
      <c r="G27" s="110">
        <f>+$E8*$B27*'Historical Flow'!$H$19</f>
        <v>778569.61243921844</v>
      </c>
      <c r="H27" s="110">
        <f t="shared" si="4"/>
        <v>25115.148788361887</v>
      </c>
      <c r="I27" s="110">
        <f>+$E8*$B27*'Historical Flow'!$J$19</f>
        <v>43730.037348804704</v>
      </c>
      <c r="J27" s="110">
        <f t="shared" si="5"/>
        <v>1410.6463660904744</v>
      </c>
      <c r="K27" s="110">
        <f>+$E8*$B27*'Historical Flow'!$L$19</f>
        <v>31293.779306628279</v>
      </c>
      <c r="L27" s="110">
        <f t="shared" si="6"/>
        <v>1009.4767518267187</v>
      </c>
      <c r="M27" s="111">
        <f t="shared" si="7"/>
        <v>1395000</v>
      </c>
      <c r="O27" s="110">
        <f t="shared" si="8"/>
        <v>1226001.9814407551</v>
      </c>
      <c r="P27" s="110">
        <f t="shared" si="11"/>
        <v>168998.01855924493</v>
      </c>
      <c r="Q27" s="112">
        <f t="shared" si="9"/>
        <v>1395000</v>
      </c>
    </row>
    <row r="28" spans="1:17" x14ac:dyDescent="0.2">
      <c r="A28" s="98">
        <v>36831</v>
      </c>
      <c r="B28" s="102">
        <v>30</v>
      </c>
      <c r="C28" s="110">
        <f>+$E9*$B28*'Historical Flow'!$D$19</f>
        <v>432999.06677568052</v>
      </c>
      <c r="D28" s="110">
        <f t="shared" si="10"/>
        <v>14433.302225856018</v>
      </c>
      <c r="E28" s="110">
        <f>+$E9*$B28*'Historical Flow'!$F$19</f>
        <v>90942.776035947085</v>
      </c>
      <c r="F28" s="110">
        <f t="shared" si="10"/>
        <v>3031.425867864903</v>
      </c>
      <c r="G28" s="110">
        <f>+$E9*$B28*'Historical Flow'!$H$19</f>
        <v>753454.46365085663</v>
      </c>
      <c r="H28" s="110">
        <f t="shared" si="4"/>
        <v>25115.148788361887</v>
      </c>
      <c r="I28" s="110">
        <f>+$E9*$B28*'Historical Flow'!$J$19</f>
        <v>42319.390982714227</v>
      </c>
      <c r="J28" s="110">
        <f t="shared" si="5"/>
        <v>1410.6463660904742</v>
      </c>
      <c r="K28" s="110">
        <f>+$E9*$B28*'Historical Flow'!$L$19</f>
        <v>30284.302554801561</v>
      </c>
      <c r="L28" s="110">
        <f t="shared" si="6"/>
        <v>1009.4767518267187</v>
      </c>
      <c r="M28" s="111">
        <f t="shared" si="7"/>
        <v>1350000</v>
      </c>
      <c r="O28" s="110">
        <f t="shared" si="8"/>
        <v>1186453.5304265372</v>
      </c>
      <c r="P28" s="110">
        <f t="shared" si="11"/>
        <v>163546.46957346285</v>
      </c>
      <c r="Q28" s="112">
        <f t="shared" si="9"/>
        <v>1350000</v>
      </c>
    </row>
    <row r="29" spans="1:17" x14ac:dyDescent="0.2">
      <c r="A29" s="98">
        <v>36861</v>
      </c>
      <c r="B29" s="102">
        <v>31</v>
      </c>
      <c r="C29" s="110">
        <f>+$E10*$B29*'Historical Flow'!$D$19</f>
        <v>447432.36900153657</v>
      </c>
      <c r="D29" s="110">
        <f t="shared" si="10"/>
        <v>14433.302225856018</v>
      </c>
      <c r="E29" s="110">
        <f>+$E10*$B29*'Historical Flow'!$F$19</f>
        <v>93974.201903811991</v>
      </c>
      <c r="F29" s="110">
        <f t="shared" si="10"/>
        <v>3031.425867864903</v>
      </c>
      <c r="G29" s="110">
        <f>+$E10*$B29*'Historical Flow'!$H$19</f>
        <v>778569.61243921844</v>
      </c>
      <c r="H29" s="110">
        <f t="shared" si="4"/>
        <v>25115.148788361887</v>
      </c>
      <c r="I29" s="110">
        <f>+$E10*$B29*'Historical Flow'!$J$19</f>
        <v>43730.037348804704</v>
      </c>
      <c r="J29" s="110">
        <f t="shared" si="5"/>
        <v>1410.6463660904744</v>
      </c>
      <c r="K29" s="110">
        <f>+$E10*$B29*'Historical Flow'!$L$19</f>
        <v>31293.779306628279</v>
      </c>
      <c r="L29" s="110">
        <f t="shared" si="6"/>
        <v>1009.4767518267187</v>
      </c>
      <c r="M29" s="111">
        <f t="shared" si="7"/>
        <v>1395000</v>
      </c>
      <c r="O29" s="110">
        <f t="shared" si="8"/>
        <v>1226001.9814407551</v>
      </c>
      <c r="P29" s="110">
        <f t="shared" si="11"/>
        <v>168998.01855924493</v>
      </c>
      <c r="Q29" s="112">
        <f t="shared" si="9"/>
        <v>1395000</v>
      </c>
    </row>
    <row r="30" spans="1:17" x14ac:dyDescent="0.2">
      <c r="A30" s="98">
        <v>36892</v>
      </c>
      <c r="B30" s="102">
        <v>31</v>
      </c>
      <c r="C30" s="110">
        <f>+$E11*$B30*'Historical Flow'!$D$19</f>
        <v>447432.36900153657</v>
      </c>
      <c r="D30" s="110">
        <f t="shared" si="10"/>
        <v>14433.302225856018</v>
      </c>
      <c r="E30" s="110">
        <f>+$E11*$B30*'Historical Flow'!$F$19</f>
        <v>93974.201903811991</v>
      </c>
      <c r="F30" s="110">
        <f t="shared" si="10"/>
        <v>3031.425867864903</v>
      </c>
      <c r="G30" s="110">
        <f>+$E11*$B30*'Historical Flow'!$H$19</f>
        <v>778569.61243921844</v>
      </c>
      <c r="H30" s="110">
        <f t="shared" si="4"/>
        <v>25115.148788361887</v>
      </c>
      <c r="I30" s="110">
        <f>+$E11*$B30*'Historical Flow'!$J$19</f>
        <v>43730.037348804704</v>
      </c>
      <c r="J30" s="110">
        <f t="shared" si="5"/>
        <v>1410.6463660904744</v>
      </c>
      <c r="K30" s="110">
        <f>+$E11*$B30*'Historical Flow'!$L$19</f>
        <v>31293.779306628279</v>
      </c>
      <c r="L30" s="110">
        <f t="shared" si="6"/>
        <v>1009.4767518267187</v>
      </c>
      <c r="M30" s="111">
        <f t="shared" si="7"/>
        <v>1395000</v>
      </c>
      <c r="O30" s="110">
        <f t="shared" si="8"/>
        <v>1226001.9814407551</v>
      </c>
      <c r="P30" s="110">
        <f t="shared" si="11"/>
        <v>168998.01855924493</v>
      </c>
      <c r="Q30" s="112">
        <f t="shared" si="9"/>
        <v>1395000</v>
      </c>
    </row>
    <row r="31" spans="1:17" x14ac:dyDescent="0.2">
      <c r="A31" s="98">
        <v>36923</v>
      </c>
      <c r="B31" s="102">
        <v>28</v>
      </c>
      <c r="C31" s="110">
        <f>+$E12*$B31*'Historical Flow'!$D$19</f>
        <v>404132.46232396853</v>
      </c>
      <c r="D31" s="110">
        <f t="shared" si="10"/>
        <v>14433.30222585602</v>
      </c>
      <c r="E31" s="110">
        <f>+$E12*$B31*'Historical Flow'!$F$19</f>
        <v>84879.924300217273</v>
      </c>
      <c r="F31" s="110">
        <f t="shared" si="10"/>
        <v>3031.4258678649026</v>
      </c>
      <c r="G31" s="110">
        <f>+$E12*$B31*'Historical Flow'!$H$19</f>
        <v>703224.16607413278</v>
      </c>
      <c r="H31" s="110">
        <f t="shared" si="4"/>
        <v>25115.148788361887</v>
      </c>
      <c r="I31" s="110">
        <f>+$E12*$B31*'Historical Flow'!$J$19</f>
        <v>39498.098250533279</v>
      </c>
      <c r="J31" s="110">
        <f t="shared" si="5"/>
        <v>1410.6463660904742</v>
      </c>
      <c r="K31" s="110">
        <f>+$E12*$B31*'Historical Flow'!$L$19</f>
        <v>28265.349051148121</v>
      </c>
      <c r="L31" s="110">
        <f t="shared" si="6"/>
        <v>1009.4767518267187</v>
      </c>
      <c r="M31" s="111">
        <f t="shared" si="7"/>
        <v>1260000</v>
      </c>
      <c r="O31" s="110">
        <f t="shared" si="8"/>
        <v>1107356.6283981013</v>
      </c>
      <c r="P31" s="110">
        <f t="shared" si="11"/>
        <v>152643.37160189869</v>
      </c>
      <c r="Q31" s="112">
        <f t="shared" si="9"/>
        <v>1260000</v>
      </c>
    </row>
    <row r="32" spans="1:17" x14ac:dyDescent="0.2">
      <c r="A32" s="98">
        <v>36951</v>
      </c>
      <c r="B32" s="102">
        <v>31</v>
      </c>
      <c r="C32" s="110">
        <f>+$E13*$B32*'Historical Flow'!$D$19</f>
        <v>447432.36900153657</v>
      </c>
      <c r="D32" s="110">
        <f t="shared" si="10"/>
        <v>14433.302225856018</v>
      </c>
      <c r="E32" s="110">
        <f>+$E13*$B32*'Historical Flow'!$F$19</f>
        <v>93974.201903811991</v>
      </c>
      <c r="F32" s="110">
        <f t="shared" si="10"/>
        <v>3031.425867864903</v>
      </c>
      <c r="G32" s="110">
        <f>+$E13*$B32*'Historical Flow'!$H$19</f>
        <v>778569.61243921844</v>
      </c>
      <c r="H32" s="110">
        <f t="shared" si="4"/>
        <v>25115.148788361887</v>
      </c>
      <c r="I32" s="110">
        <f>+$E13*$B32*'Historical Flow'!$J$19</f>
        <v>43730.037348804704</v>
      </c>
      <c r="J32" s="110">
        <f t="shared" si="5"/>
        <v>1410.6463660904744</v>
      </c>
      <c r="K32" s="110">
        <f>+$E13*$B32*'Historical Flow'!$L$19</f>
        <v>31293.779306628279</v>
      </c>
      <c r="L32" s="110">
        <f t="shared" si="6"/>
        <v>1009.4767518267187</v>
      </c>
      <c r="M32" s="111">
        <f t="shared" si="7"/>
        <v>1395000</v>
      </c>
      <c r="O32" s="110">
        <f t="shared" si="8"/>
        <v>1226001.9814407551</v>
      </c>
      <c r="P32" s="110">
        <f t="shared" si="11"/>
        <v>168998.01855924493</v>
      </c>
      <c r="Q32" s="112">
        <f t="shared" si="9"/>
        <v>1395000</v>
      </c>
    </row>
    <row r="33" spans="1:17" x14ac:dyDescent="0.2">
      <c r="A33" s="98">
        <v>36982</v>
      </c>
      <c r="B33" s="102">
        <v>30</v>
      </c>
      <c r="C33" s="110">
        <f>+$E14*$B33*'Historical Flow'!$D$19</f>
        <v>432999.06677568052</v>
      </c>
      <c r="D33" s="110">
        <f t="shared" si="10"/>
        <v>14433.302225856018</v>
      </c>
      <c r="E33" s="110">
        <f>+$E14*$B33*'Historical Flow'!$F$19</f>
        <v>90942.776035947085</v>
      </c>
      <c r="F33" s="110">
        <f t="shared" si="10"/>
        <v>3031.425867864903</v>
      </c>
      <c r="G33" s="110">
        <f>+$E14*$B33*'Historical Flow'!$H$19</f>
        <v>753454.46365085663</v>
      </c>
      <c r="H33" s="110">
        <f t="shared" si="4"/>
        <v>25115.148788361887</v>
      </c>
      <c r="I33" s="110">
        <f>+$E14*$B33*'Historical Flow'!$J$19</f>
        <v>42319.390982714227</v>
      </c>
      <c r="J33" s="110">
        <f t="shared" si="5"/>
        <v>1410.6463660904742</v>
      </c>
      <c r="K33" s="110">
        <f>+$E14*$B33*'Historical Flow'!$L$19</f>
        <v>30284.302554801561</v>
      </c>
      <c r="L33" s="110">
        <f t="shared" si="6"/>
        <v>1009.4767518267187</v>
      </c>
      <c r="M33" s="111">
        <f t="shared" si="7"/>
        <v>1350000</v>
      </c>
      <c r="O33" s="110">
        <f t="shared" si="8"/>
        <v>1186453.5304265372</v>
      </c>
      <c r="P33" s="110">
        <f t="shared" si="11"/>
        <v>163546.46957346285</v>
      </c>
      <c r="Q33" s="112">
        <f t="shared" si="9"/>
        <v>1350000</v>
      </c>
    </row>
    <row r="34" spans="1:17" x14ac:dyDescent="0.2">
      <c r="M34" s="113"/>
      <c r="Q34" s="113"/>
    </row>
    <row r="35" spans="1:17" x14ac:dyDescent="0.2">
      <c r="A35" s="115" t="s">
        <v>6</v>
      </c>
      <c r="B35" s="116"/>
      <c r="C35" s="117">
        <f>SUM(C22:C33)</f>
        <v>7478054.2532407353</v>
      </c>
      <c r="D35" s="117"/>
      <c r="E35" s="117">
        <f>SUM(E22:E33)</f>
        <v>1570615.4246504488</v>
      </c>
      <c r="F35" s="117"/>
      <c r="G35" s="117">
        <f>SUM(G22:G33)</f>
        <v>13012437.644459052</v>
      </c>
      <c r="H35" s="117"/>
      <c r="I35" s="117">
        <f>SUM(I22:I33)</f>
        <v>730871.55611998681</v>
      </c>
      <c r="J35" s="117"/>
      <c r="K35" s="117">
        <f>SUM(K22:K33)</f>
        <v>523021.1215297766</v>
      </c>
      <c r="L35" s="117"/>
      <c r="M35" s="114">
        <f>SUM(C35:K35)</f>
        <v>23314999.999999996</v>
      </c>
      <c r="O35" s="120">
        <f>SUM(O22:O33)</f>
        <v>20490491.897699788</v>
      </c>
      <c r="P35" s="117">
        <f>SUM(P22:P33)</f>
        <v>2824508.1023002109</v>
      </c>
      <c r="Q35" s="114">
        <f>SUM(Q22:Q33)</f>
        <v>23315000</v>
      </c>
    </row>
    <row r="36" spans="1:17" x14ac:dyDescent="0.2">
      <c r="C36" s="119"/>
      <c r="D36" s="119"/>
      <c r="E36" s="119"/>
      <c r="F36" s="119"/>
      <c r="G36" s="119"/>
      <c r="H36" s="119"/>
      <c r="I36" s="119"/>
      <c r="J36" s="119"/>
    </row>
    <row r="37" spans="1:17" x14ac:dyDescent="0.2">
      <c r="A37" s="244" t="s">
        <v>112</v>
      </c>
      <c r="B37" s="244"/>
      <c r="C37" s="244"/>
      <c r="D37" s="244"/>
      <c r="E37" s="119"/>
      <c r="F37" s="119"/>
      <c r="G37" s="119"/>
      <c r="H37" s="119"/>
      <c r="I37" s="119"/>
      <c r="J37" s="119"/>
    </row>
    <row r="38" spans="1:17" x14ac:dyDescent="0.2">
      <c r="A38" s="98">
        <v>36647</v>
      </c>
      <c r="C38" s="119"/>
      <c r="D38" s="110">
        <f t="shared" ref="D38:D49" si="12">+D22+H22</f>
        <v>65914.085023696505</v>
      </c>
      <c r="E38" s="119"/>
      <c r="F38" s="119"/>
      <c r="G38" s="119"/>
      <c r="H38" s="119"/>
      <c r="I38" s="119"/>
      <c r="J38" s="119"/>
    </row>
    <row r="39" spans="1:17" x14ac:dyDescent="0.2">
      <c r="A39" s="98">
        <v>36678</v>
      </c>
      <c r="C39" s="74"/>
      <c r="D39" s="110">
        <f t="shared" si="12"/>
        <v>65914.085023696505</v>
      </c>
      <c r="E39" s="74"/>
      <c r="F39" s="74"/>
      <c r="G39" s="74"/>
      <c r="H39" s="74"/>
      <c r="I39" s="74"/>
      <c r="J39" s="74"/>
    </row>
    <row r="40" spans="1:17" x14ac:dyDescent="0.2">
      <c r="A40" s="98">
        <v>36708</v>
      </c>
      <c r="D40" s="110">
        <f t="shared" si="12"/>
        <v>87885.446698262007</v>
      </c>
    </row>
    <row r="41" spans="1:17" x14ac:dyDescent="0.2">
      <c r="A41" s="98">
        <v>36739</v>
      </c>
      <c r="D41" s="110">
        <f t="shared" si="12"/>
        <v>87885.446698262007</v>
      </c>
    </row>
    <row r="42" spans="1:17" x14ac:dyDescent="0.2">
      <c r="A42" s="98">
        <v>36770</v>
      </c>
      <c r="D42" s="110">
        <f t="shared" si="12"/>
        <v>87885.446698262007</v>
      </c>
    </row>
    <row r="43" spans="1:17" x14ac:dyDescent="0.2">
      <c r="A43" s="98">
        <v>36800</v>
      </c>
      <c r="D43" s="110">
        <f t="shared" si="12"/>
        <v>39548.451014217906</v>
      </c>
    </row>
    <row r="44" spans="1:17" x14ac:dyDescent="0.2">
      <c r="A44" s="98">
        <v>36831</v>
      </c>
      <c r="D44" s="110">
        <f t="shared" si="12"/>
        <v>39548.451014217906</v>
      </c>
    </row>
    <row r="45" spans="1:17" x14ac:dyDescent="0.2">
      <c r="A45" s="98">
        <v>36861</v>
      </c>
      <c r="D45" s="110">
        <f t="shared" si="12"/>
        <v>39548.451014217906</v>
      </c>
    </row>
    <row r="46" spans="1:17" x14ac:dyDescent="0.2">
      <c r="A46" s="98">
        <v>36892</v>
      </c>
      <c r="D46" s="110">
        <f t="shared" si="12"/>
        <v>39548.451014217906</v>
      </c>
    </row>
    <row r="47" spans="1:17" x14ac:dyDescent="0.2">
      <c r="A47" s="98">
        <v>36923</v>
      </c>
      <c r="D47" s="110">
        <f t="shared" si="12"/>
        <v>39548.451014217906</v>
      </c>
    </row>
    <row r="48" spans="1:17" x14ac:dyDescent="0.2">
      <c r="A48" s="98">
        <v>36951</v>
      </c>
      <c r="D48" s="110">
        <f t="shared" si="12"/>
        <v>39548.451014217906</v>
      </c>
    </row>
    <row r="49" spans="1:4" x14ac:dyDescent="0.2">
      <c r="A49" s="98">
        <v>36982</v>
      </c>
      <c r="D49" s="110">
        <f t="shared" si="12"/>
        <v>39548.451014217906</v>
      </c>
    </row>
    <row r="50" spans="1:4" x14ac:dyDescent="0.2">
      <c r="D50" s="110"/>
    </row>
    <row r="51" spans="1:4" x14ac:dyDescent="0.2">
      <c r="D51" s="110"/>
    </row>
    <row r="52" spans="1:4" x14ac:dyDescent="0.2">
      <c r="D52" s="110"/>
    </row>
    <row r="53" spans="1:4" x14ac:dyDescent="0.2">
      <c r="D53" s="110"/>
    </row>
    <row r="54" spans="1:4" x14ac:dyDescent="0.2">
      <c r="D54" s="110"/>
    </row>
    <row r="55" spans="1:4" x14ac:dyDescent="0.2">
      <c r="D55" s="110"/>
    </row>
    <row r="56" spans="1:4" x14ac:dyDescent="0.2">
      <c r="D56" s="110"/>
    </row>
  </sheetData>
  <mergeCells count="4">
    <mergeCell ref="A1:J1"/>
    <mergeCell ref="A20:H20"/>
    <mergeCell ref="J20:L20"/>
    <mergeCell ref="A37:D37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267"/>
  <sheetViews>
    <sheetView workbookViewId="0">
      <selection activeCell="C33" sqref="C33"/>
    </sheetView>
  </sheetViews>
  <sheetFormatPr defaultRowHeight="12.75" x14ac:dyDescent="0.2"/>
  <cols>
    <col min="1" max="1" width="13.140625" style="1" customWidth="1"/>
    <col min="2" max="2" width="9.85546875" style="1" customWidth="1"/>
    <col min="3" max="3" width="10.140625" style="1" customWidth="1"/>
    <col min="4" max="4" width="8.5703125" style="1" bestFit="1" customWidth="1"/>
    <col min="5" max="5" width="14" style="1" bestFit="1" customWidth="1"/>
    <col min="6" max="6" width="6.85546875" style="1" bestFit="1" customWidth="1"/>
    <col min="7" max="8" width="5.7109375" style="1" bestFit="1" customWidth="1"/>
    <col min="9" max="9" width="7.7109375" style="1" customWidth="1"/>
    <col min="10" max="10" width="7.42578125" style="1" customWidth="1"/>
    <col min="11" max="11" width="7.7109375" style="1" customWidth="1"/>
    <col min="12" max="12" width="10.5703125" style="1" customWidth="1"/>
    <col min="13" max="13" width="11" style="1" customWidth="1"/>
    <col min="14" max="14" width="8.5703125" style="1" customWidth="1"/>
    <col min="15" max="15" width="7.7109375" style="1" customWidth="1"/>
    <col min="16" max="17" width="9.140625" style="1"/>
    <col min="18" max="18" width="7.140625" style="1" customWidth="1"/>
    <col min="19" max="19" width="4.85546875" style="1" customWidth="1"/>
    <col min="20" max="20" width="12.85546875" style="1" customWidth="1"/>
    <col min="21" max="21" width="14.42578125" style="1" customWidth="1"/>
    <col min="22" max="22" width="10.7109375" style="1" customWidth="1"/>
    <col min="23" max="16384" width="9.140625" style="1"/>
  </cols>
  <sheetData>
    <row r="1" spans="1:26" ht="13.5" thickBot="1" x14ac:dyDescent="0.25"/>
    <row r="2" spans="1:26" ht="20.25" customHeight="1" thickBot="1" x14ac:dyDescent="0.25">
      <c r="A2" s="2" t="s">
        <v>9</v>
      </c>
      <c r="B2" s="3" t="e">
        <f>+#REF!</f>
        <v>#REF!</v>
      </c>
      <c r="C2" s="4"/>
      <c r="D2" s="4"/>
      <c r="E2" s="5"/>
      <c r="I2" s="6" t="s">
        <v>40</v>
      </c>
      <c r="J2" s="7"/>
      <c r="K2" s="8"/>
      <c r="M2" s="55" t="s">
        <v>7</v>
      </c>
      <c r="N2" s="56">
        <v>712988</v>
      </c>
    </row>
    <row r="3" spans="1:26" ht="13.5" thickBot="1" x14ac:dyDescent="0.25">
      <c r="A3" s="9"/>
      <c r="B3" s="10"/>
      <c r="C3" s="10"/>
      <c r="D3" s="10"/>
    </row>
    <row r="4" spans="1:26" s="14" customFormat="1" ht="26.25" thickBot="1" x14ac:dyDescent="0.25">
      <c r="A4" s="66" t="s">
        <v>10</v>
      </c>
      <c r="B4" s="67" t="s">
        <v>11</v>
      </c>
      <c r="C4" s="67" t="s">
        <v>12</v>
      </c>
      <c r="D4" s="67" t="s">
        <v>13</v>
      </c>
      <c r="E4" s="67" t="s">
        <v>14</v>
      </c>
      <c r="F4" s="68" t="s">
        <v>15</v>
      </c>
      <c r="G4" s="11" t="s">
        <v>16</v>
      </c>
      <c r="H4" s="11" t="s">
        <v>17</v>
      </c>
      <c r="I4" s="11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12" t="s">
        <v>29</v>
      </c>
      <c r="U4" s="13" t="s">
        <v>30</v>
      </c>
    </row>
    <row r="5" spans="1:26" x14ac:dyDescent="0.2">
      <c r="A5" s="15">
        <v>36647</v>
      </c>
      <c r="B5" s="16">
        <f>-VLOOKUP(A5,'Deal Volumes'!$A$3:$J$16,10)</f>
        <v>-116250</v>
      </c>
      <c r="C5" s="15">
        <f>+A5</f>
        <v>36647</v>
      </c>
      <c r="D5" s="17">
        <f t="shared" ref="D5:D18" si="0">EOMONTH(C5,0)</f>
        <v>36677</v>
      </c>
      <c r="E5" s="1" t="s">
        <v>31</v>
      </c>
      <c r="F5" s="18" t="s">
        <v>32</v>
      </c>
      <c r="G5" s="59">
        <v>2.5710000000000002</v>
      </c>
      <c r="H5" s="20">
        <f>G5</f>
        <v>2.5710000000000002</v>
      </c>
      <c r="I5" s="21" t="e">
        <f>+A5-$B$2</f>
        <v>#REF!</v>
      </c>
      <c r="J5" s="18">
        <f>+C5-A5</f>
        <v>0</v>
      </c>
      <c r="K5" s="22">
        <f>+D5-C5+1</f>
        <v>31</v>
      </c>
      <c r="L5" s="18">
        <v>1</v>
      </c>
      <c r="M5" s="107">
        <v>6.1739896749392023E-2</v>
      </c>
      <c r="N5" s="24">
        <f>+O5</f>
        <v>0.45</v>
      </c>
      <c r="O5" s="60">
        <v>0.45</v>
      </c>
      <c r="P5" s="24">
        <v>1</v>
      </c>
      <c r="Q5" s="25">
        <v>0</v>
      </c>
      <c r="R5" s="18">
        <f>IF(F5="Call",1,0)</f>
        <v>1</v>
      </c>
      <c r="S5" s="14">
        <v>0</v>
      </c>
      <c r="T5" s="61" t="e">
        <f ca="1">_xll.OSTRIP(G5,H5,I5,J5,K5,L5,M5,N5,O5,P5,Q5,R5,S5)</f>
        <v>#NAME?</v>
      </c>
      <c r="U5" s="62" t="e">
        <f ca="1">T5*B5</f>
        <v>#NAME?</v>
      </c>
      <c r="V5" s="167"/>
      <c r="W5" s="27"/>
      <c r="X5" s="18"/>
      <c r="Y5" s="18"/>
      <c r="Z5" s="18"/>
    </row>
    <row r="6" spans="1:26" x14ac:dyDescent="0.2">
      <c r="A6" s="15">
        <v>36678</v>
      </c>
      <c r="B6" s="16">
        <f>-VLOOKUP(A6,'Deal Volumes'!$A$3:$J$16,10)</f>
        <v>-112500</v>
      </c>
      <c r="C6" s="15">
        <f>+A6</f>
        <v>36678</v>
      </c>
      <c r="D6" s="17">
        <f t="shared" si="0"/>
        <v>36707</v>
      </c>
      <c r="E6" s="1" t="s">
        <v>31</v>
      </c>
      <c r="F6" s="18" t="s">
        <v>32</v>
      </c>
      <c r="G6" s="59">
        <v>2.5905</v>
      </c>
      <c r="H6" s="20">
        <f>G6</f>
        <v>2.5905</v>
      </c>
      <c r="I6" s="21" t="e">
        <f>+A6-$B$2</f>
        <v>#REF!</v>
      </c>
      <c r="J6" s="18">
        <f>+C6-A6</f>
        <v>0</v>
      </c>
      <c r="K6" s="22">
        <f>+D6-C6+1</f>
        <v>30</v>
      </c>
      <c r="L6" s="18">
        <v>1</v>
      </c>
      <c r="M6" s="107">
        <v>6.2588347760123994E-2</v>
      </c>
      <c r="N6" s="24">
        <f t="shared" ref="N6:N18" si="1">+O6</f>
        <v>0.5</v>
      </c>
      <c r="O6" s="60">
        <v>0.5</v>
      </c>
      <c r="P6" s="24">
        <v>1</v>
      </c>
      <c r="Q6" s="25">
        <v>0</v>
      </c>
      <c r="R6" s="18">
        <f>IF(F6="Call",1,0)</f>
        <v>1</v>
      </c>
      <c r="S6" s="14">
        <v>0</v>
      </c>
      <c r="T6" s="61" t="e">
        <f ca="1">_xll.OSTRIP(G6,H6,I6,J6,K6,L6,M6,N6,O6,P6,Q6,R6,S6)</f>
        <v>#NAME?</v>
      </c>
      <c r="U6" s="62" t="e">
        <f ca="1">T6*B6</f>
        <v>#NAME?</v>
      </c>
      <c r="V6" s="167"/>
      <c r="W6" s="27"/>
      <c r="X6" s="18"/>
      <c r="Y6" s="18"/>
      <c r="Z6" s="18"/>
    </row>
    <row r="7" spans="1:26" x14ac:dyDescent="0.2">
      <c r="A7" s="15">
        <v>36708</v>
      </c>
      <c r="B7" s="16">
        <f>-VLOOKUP(A7,'Deal Volumes'!$A$3:$J$16,10)</f>
        <v>-155000</v>
      </c>
      <c r="C7" s="15">
        <f>+A7</f>
        <v>36708</v>
      </c>
      <c r="D7" s="17">
        <f t="shared" si="0"/>
        <v>36738</v>
      </c>
      <c r="E7" s="1" t="s">
        <v>31</v>
      </c>
      <c r="F7" s="18" t="s">
        <v>32</v>
      </c>
      <c r="G7" s="59">
        <v>2.6070000000000002</v>
      </c>
      <c r="H7" s="20">
        <f>G7</f>
        <v>2.6070000000000002</v>
      </c>
      <c r="I7" s="21" t="e">
        <f>+A7-$B$2</f>
        <v>#REF!</v>
      </c>
      <c r="J7" s="18">
        <f>+C7-A7</f>
        <v>0</v>
      </c>
      <c r="K7" s="22">
        <f>+D7-C7+1</f>
        <v>31</v>
      </c>
      <c r="L7" s="18">
        <v>1</v>
      </c>
      <c r="M7" s="107">
        <v>6.3435677173907024E-2</v>
      </c>
      <c r="N7" s="24">
        <f t="shared" si="1"/>
        <v>0.5</v>
      </c>
      <c r="O7" s="60">
        <v>0.5</v>
      </c>
      <c r="P7" s="24">
        <v>1</v>
      </c>
      <c r="Q7" s="25">
        <v>0</v>
      </c>
      <c r="R7" s="18">
        <f>IF(F7="Call",1,0)</f>
        <v>1</v>
      </c>
      <c r="S7" s="14">
        <v>0</v>
      </c>
      <c r="T7" s="61" t="e">
        <f ca="1">_xll.OSTRIP(G7,H7,I7,J7,K7,L7,M7,N7,O7,P7,Q7,R7,S7)</f>
        <v>#NAME?</v>
      </c>
      <c r="U7" s="62" t="e">
        <f ca="1">T7*B7</f>
        <v>#NAME?</v>
      </c>
      <c r="V7" s="167"/>
      <c r="W7" s="27"/>
      <c r="X7" s="18"/>
      <c r="Y7" s="18"/>
      <c r="Z7" s="18"/>
    </row>
    <row r="8" spans="1:26" x14ac:dyDescent="0.2">
      <c r="A8" s="15">
        <v>36739</v>
      </c>
      <c r="B8" s="16">
        <f>-VLOOKUP(A8,'Deal Volumes'!$A$3:$J$16,10)</f>
        <v>-155000</v>
      </c>
      <c r="C8" s="15">
        <f>+A8</f>
        <v>36739</v>
      </c>
      <c r="D8" s="17">
        <f t="shared" si="0"/>
        <v>36769</v>
      </c>
      <c r="E8" s="1" t="s">
        <v>31</v>
      </c>
      <c r="F8" s="18" t="s">
        <v>32</v>
      </c>
      <c r="G8" s="59">
        <v>2.6234999999999999</v>
      </c>
      <c r="H8" s="20">
        <f>G8</f>
        <v>2.6234999999999999</v>
      </c>
      <c r="I8" s="21" t="e">
        <f>+A8-$B$2</f>
        <v>#REF!</v>
      </c>
      <c r="J8" s="18">
        <f>+C8-A8</f>
        <v>0</v>
      </c>
      <c r="K8" s="22">
        <f>+D8-C8+1</f>
        <v>31</v>
      </c>
      <c r="L8" s="18">
        <v>1</v>
      </c>
      <c r="M8" s="107">
        <v>6.4112455868492998E-2</v>
      </c>
      <c r="N8" s="24">
        <f t="shared" si="1"/>
        <v>0.55000000000000004</v>
      </c>
      <c r="O8" s="60">
        <v>0.55000000000000004</v>
      </c>
      <c r="P8" s="24">
        <v>1</v>
      </c>
      <c r="Q8" s="25">
        <v>0</v>
      </c>
      <c r="R8" s="18">
        <f>IF(F8="Call",1,0)</f>
        <v>1</v>
      </c>
      <c r="S8" s="14">
        <v>0</v>
      </c>
      <c r="T8" s="61" t="e">
        <f ca="1">_xll.OSTRIP(G8,H8,I8,J8,K8,L8,M8,N8,O8,P8,Q8,R8,S8)</f>
        <v>#NAME?</v>
      </c>
      <c r="U8" s="62" t="e">
        <f ca="1">T8*B8</f>
        <v>#NAME?</v>
      </c>
      <c r="V8" s="167"/>
      <c r="W8" s="27"/>
      <c r="X8" s="18"/>
      <c r="Y8" s="18"/>
      <c r="Z8" s="18"/>
    </row>
    <row r="9" spans="1:26" x14ac:dyDescent="0.2">
      <c r="A9" s="15">
        <v>36770</v>
      </c>
      <c r="B9" s="16">
        <f>-VLOOKUP(A9,'Deal Volumes'!$A$3:$J$16,10)</f>
        <v>-150000</v>
      </c>
      <c r="C9" s="15">
        <f>+A9</f>
        <v>36770</v>
      </c>
      <c r="D9" s="17">
        <f t="shared" si="0"/>
        <v>36799</v>
      </c>
      <c r="E9" s="1" t="s">
        <v>31</v>
      </c>
      <c r="F9" s="18" t="s">
        <v>32</v>
      </c>
      <c r="G9" s="59">
        <v>2.6230000000000002</v>
      </c>
      <c r="H9" s="20">
        <f>G9</f>
        <v>2.6230000000000002</v>
      </c>
      <c r="I9" s="21" t="e">
        <f>+A9-$B$2</f>
        <v>#REF!</v>
      </c>
      <c r="J9" s="18">
        <f>+C9-A9</f>
        <v>0</v>
      </c>
      <c r="K9" s="22">
        <f>+D9-C9+1</f>
        <v>30</v>
      </c>
      <c r="L9" s="18">
        <v>1</v>
      </c>
      <c r="M9" s="107">
        <v>6.4789234714962021E-2</v>
      </c>
      <c r="N9" s="24">
        <f t="shared" si="1"/>
        <v>0.55000000000000004</v>
      </c>
      <c r="O9" s="60">
        <v>0.55000000000000004</v>
      </c>
      <c r="P9" s="24">
        <v>1</v>
      </c>
      <c r="Q9" s="25">
        <v>0</v>
      </c>
      <c r="R9" s="18">
        <f>IF(F9="Call",1,0)</f>
        <v>1</v>
      </c>
      <c r="S9" s="14">
        <v>0</v>
      </c>
      <c r="T9" s="61" t="e">
        <f ca="1">_xll.OSTRIP(G9,H9,I9,J9,K9,L9,M9,N9,O9,P9,Q9,R9,S9)</f>
        <v>#NAME?</v>
      </c>
      <c r="U9" s="101" t="e">
        <f ca="1">T9*B9</f>
        <v>#NAME?</v>
      </c>
      <c r="V9" s="167"/>
      <c r="W9" s="27"/>
      <c r="X9" s="18"/>
      <c r="Y9" s="18"/>
      <c r="Z9" s="18"/>
    </row>
    <row r="10" spans="1:26" s="18" customFormat="1" x14ac:dyDescent="0.2">
      <c r="A10" s="15">
        <v>36800</v>
      </c>
      <c r="B10" s="16">
        <f>-VLOOKUP(A10,'Deal Volumes'!$A$3:$J$16,10)</f>
        <v>-69750</v>
      </c>
      <c r="C10" s="15">
        <f t="shared" ref="C10:C18" si="2">+A10</f>
        <v>36800</v>
      </c>
      <c r="D10" s="17">
        <f t="shared" si="0"/>
        <v>36830</v>
      </c>
      <c r="E10" s="1" t="s">
        <v>31</v>
      </c>
      <c r="F10" s="18" t="s">
        <v>32</v>
      </c>
      <c r="G10" s="59">
        <v>2.6480000000000001</v>
      </c>
      <c r="H10" s="20">
        <f t="shared" ref="H10:H18" si="3">G10</f>
        <v>2.6480000000000001</v>
      </c>
      <c r="I10" s="21" t="e">
        <f t="shared" ref="I10:I18" si="4">+A10-$B$2</f>
        <v>#REF!</v>
      </c>
      <c r="J10" s="18">
        <f t="shared" ref="J10:J18" si="5">+C10-A10</f>
        <v>0</v>
      </c>
      <c r="K10" s="22">
        <f t="shared" ref="K10:K18" si="6">+D10-C10+1</f>
        <v>31</v>
      </c>
      <c r="L10" s="18">
        <v>1</v>
      </c>
      <c r="M10" s="107">
        <v>6.5417688435194007E-2</v>
      </c>
      <c r="N10" s="24">
        <f t="shared" si="1"/>
        <v>0.5</v>
      </c>
      <c r="O10" s="60">
        <v>0.5</v>
      </c>
      <c r="P10" s="24">
        <v>1</v>
      </c>
      <c r="Q10" s="25">
        <v>0</v>
      </c>
      <c r="R10" s="18">
        <f t="shared" ref="R10:R18" si="7">IF(F10="Call",1,0)</f>
        <v>1</v>
      </c>
      <c r="S10" s="14">
        <v>0</v>
      </c>
      <c r="T10" s="61" t="e">
        <f ca="1">_xll.OSTRIP(G10,H10,I10,J10,K10,L10,M10,N10,O10,P10,Q10,R10,S10)</f>
        <v>#NAME?</v>
      </c>
      <c r="U10" s="101" t="e">
        <f t="shared" ref="U10:U18" ca="1" si="8">T10*B10</f>
        <v>#NAME?</v>
      </c>
      <c r="V10" s="167"/>
      <c r="W10" s="27"/>
    </row>
    <row r="11" spans="1:26" s="18" customFormat="1" x14ac:dyDescent="0.2">
      <c r="A11" s="15">
        <v>36831</v>
      </c>
      <c r="B11" s="16">
        <f>-VLOOKUP(A11,'Deal Volumes'!$A$3:$J$16,10)</f>
        <v>-67500</v>
      </c>
      <c r="C11" s="15">
        <f t="shared" si="2"/>
        <v>36831</v>
      </c>
      <c r="D11" s="17">
        <f t="shared" si="0"/>
        <v>36860</v>
      </c>
      <c r="E11" s="1" t="s">
        <v>31</v>
      </c>
      <c r="F11" s="18" t="s">
        <v>32</v>
      </c>
      <c r="G11" s="59">
        <v>2.7429999999999999</v>
      </c>
      <c r="H11" s="20">
        <f t="shared" si="3"/>
        <v>2.7429999999999999</v>
      </c>
      <c r="I11" s="21" t="e">
        <f t="shared" si="4"/>
        <v>#REF!</v>
      </c>
      <c r="J11" s="18">
        <f t="shared" si="5"/>
        <v>0</v>
      </c>
      <c r="K11" s="22">
        <f t="shared" si="6"/>
        <v>30</v>
      </c>
      <c r="L11" s="18">
        <v>1</v>
      </c>
      <c r="M11" s="107">
        <v>6.6017878160483018E-2</v>
      </c>
      <c r="N11" s="24">
        <f t="shared" si="1"/>
        <v>0.85</v>
      </c>
      <c r="O11" s="60">
        <v>0.85</v>
      </c>
      <c r="P11" s="24">
        <v>1</v>
      </c>
      <c r="Q11" s="25">
        <v>0</v>
      </c>
      <c r="R11" s="18">
        <f t="shared" si="7"/>
        <v>1</v>
      </c>
      <c r="S11" s="14">
        <v>0</v>
      </c>
      <c r="T11" s="61" t="e">
        <f ca="1">_xll.OSTRIP(G11,H11,I11,J11,K11,L11,M11,N11,O11,P11,Q11,R11,S11)</f>
        <v>#NAME?</v>
      </c>
      <c r="U11" s="101" t="e">
        <f t="shared" ca="1" si="8"/>
        <v>#NAME?</v>
      </c>
      <c r="V11" s="167"/>
      <c r="W11" s="27"/>
    </row>
    <row r="12" spans="1:26" s="18" customFormat="1" x14ac:dyDescent="0.2">
      <c r="A12" s="15">
        <v>36861</v>
      </c>
      <c r="B12" s="16">
        <f>-VLOOKUP(A12,'Deal Volumes'!$A$3:$J$16,10)</f>
        <v>-69750</v>
      </c>
      <c r="C12" s="15">
        <f t="shared" si="2"/>
        <v>36861</v>
      </c>
      <c r="D12" s="17">
        <f t="shared" si="0"/>
        <v>36891</v>
      </c>
      <c r="E12" s="1" t="s">
        <v>31</v>
      </c>
      <c r="F12" s="18" t="s">
        <v>32</v>
      </c>
      <c r="G12" s="59">
        <v>2.8454999999999999</v>
      </c>
      <c r="H12" s="20">
        <f t="shared" si="3"/>
        <v>2.8454999999999999</v>
      </c>
      <c r="I12" s="21" t="e">
        <f t="shared" si="4"/>
        <v>#REF!</v>
      </c>
      <c r="J12" s="18">
        <f t="shared" si="5"/>
        <v>0</v>
      </c>
      <c r="K12" s="22">
        <f t="shared" si="6"/>
        <v>31</v>
      </c>
      <c r="L12" s="18">
        <v>1</v>
      </c>
      <c r="M12" s="107">
        <v>6.6598707040522009E-2</v>
      </c>
      <c r="N12" s="24">
        <f t="shared" si="1"/>
        <v>1.05</v>
      </c>
      <c r="O12" s="60">
        <v>1.05</v>
      </c>
      <c r="P12" s="24">
        <v>1</v>
      </c>
      <c r="Q12" s="25">
        <v>0</v>
      </c>
      <c r="R12" s="18">
        <f t="shared" si="7"/>
        <v>1</v>
      </c>
      <c r="S12" s="14">
        <v>0</v>
      </c>
      <c r="T12" s="61" t="e">
        <f ca="1">_xll.OSTRIP(G12,H12,I12,J12,K12,L12,M12,N12,O12,P12,Q12,R12,S12)</f>
        <v>#NAME?</v>
      </c>
      <c r="U12" s="101" t="e">
        <f t="shared" ca="1" si="8"/>
        <v>#NAME?</v>
      </c>
      <c r="V12" s="167"/>
      <c r="W12" s="27"/>
    </row>
    <row r="13" spans="1:26" s="18" customFormat="1" x14ac:dyDescent="0.2">
      <c r="A13" s="15">
        <v>36892</v>
      </c>
      <c r="B13" s="16">
        <f>-VLOOKUP(A13,'Deal Volumes'!$A$3:$J$16,10)</f>
        <v>-69750</v>
      </c>
      <c r="C13" s="15">
        <f t="shared" si="2"/>
        <v>36892</v>
      </c>
      <c r="D13" s="17">
        <f t="shared" si="0"/>
        <v>36922</v>
      </c>
      <c r="E13" s="1" t="s">
        <v>31</v>
      </c>
      <c r="F13" s="18" t="s">
        <v>32</v>
      </c>
      <c r="G13" s="59">
        <v>2.8679999999999999</v>
      </c>
      <c r="H13" s="20">
        <f t="shared" si="3"/>
        <v>2.8679999999999999</v>
      </c>
      <c r="I13" s="21" t="e">
        <f t="shared" si="4"/>
        <v>#REF!</v>
      </c>
      <c r="J13" s="18">
        <f t="shared" si="5"/>
        <v>0</v>
      </c>
      <c r="K13" s="22">
        <f t="shared" si="6"/>
        <v>31</v>
      </c>
      <c r="L13" s="18">
        <v>1</v>
      </c>
      <c r="M13" s="107">
        <v>6.7170475814310016E-2</v>
      </c>
      <c r="N13" s="24">
        <f t="shared" si="1"/>
        <v>1.05</v>
      </c>
      <c r="O13" s="60">
        <v>1.05</v>
      </c>
      <c r="P13" s="24">
        <v>1</v>
      </c>
      <c r="Q13" s="25">
        <v>0</v>
      </c>
      <c r="R13" s="18">
        <f t="shared" si="7"/>
        <v>1</v>
      </c>
      <c r="S13" s="14">
        <v>0</v>
      </c>
      <c r="T13" s="61" t="e">
        <f ca="1">_xll.OSTRIP(G13,H13,I13,J13,K13,L13,M13,N13,O13,P13,Q13,R13,S13)</f>
        <v>#NAME?</v>
      </c>
      <c r="U13" s="101" t="e">
        <f t="shared" ca="1" si="8"/>
        <v>#NAME?</v>
      </c>
      <c r="V13" s="167"/>
      <c r="W13" s="27"/>
    </row>
    <row r="14" spans="1:26" s="18" customFormat="1" x14ac:dyDescent="0.2">
      <c r="A14" s="15">
        <v>36923</v>
      </c>
      <c r="B14" s="16">
        <f>-VLOOKUP(A14,'Deal Volumes'!$A$3:$J$16,10)</f>
        <v>-63000</v>
      </c>
      <c r="C14" s="15">
        <f t="shared" si="2"/>
        <v>36923</v>
      </c>
      <c r="D14" s="17">
        <f t="shared" si="0"/>
        <v>36950</v>
      </c>
      <c r="E14" s="1" t="s">
        <v>31</v>
      </c>
      <c r="F14" s="18" t="s">
        <v>32</v>
      </c>
      <c r="G14" s="59">
        <v>2.7334999999999998</v>
      </c>
      <c r="H14" s="20">
        <f t="shared" si="3"/>
        <v>2.7334999999999998</v>
      </c>
      <c r="I14" s="21" t="e">
        <f t="shared" si="4"/>
        <v>#REF!</v>
      </c>
      <c r="J14" s="18">
        <f t="shared" si="5"/>
        <v>0</v>
      </c>
      <c r="K14" s="22">
        <f t="shared" si="6"/>
        <v>28</v>
      </c>
      <c r="L14" s="18">
        <v>1</v>
      </c>
      <c r="M14" s="107">
        <v>6.7697244476728993E-2</v>
      </c>
      <c r="N14" s="24">
        <f t="shared" si="1"/>
        <v>1.05</v>
      </c>
      <c r="O14" s="60">
        <v>1.05</v>
      </c>
      <c r="P14" s="24">
        <v>1</v>
      </c>
      <c r="Q14" s="25">
        <v>0</v>
      </c>
      <c r="R14" s="18">
        <f t="shared" si="7"/>
        <v>1</v>
      </c>
      <c r="S14" s="14">
        <v>0</v>
      </c>
      <c r="T14" s="61" t="e">
        <f ca="1">_xll.OSTRIP(G14,H14,I14,J14,K14,L14,M14,N14,O14,P14,Q14,R14,S14)</f>
        <v>#NAME?</v>
      </c>
      <c r="U14" s="101" t="e">
        <f t="shared" ca="1" si="8"/>
        <v>#NAME?</v>
      </c>
      <c r="V14" s="167"/>
      <c r="W14" s="27"/>
    </row>
    <row r="15" spans="1:26" s="18" customFormat="1" x14ac:dyDescent="0.2">
      <c r="A15" s="15">
        <v>36951</v>
      </c>
      <c r="B15" s="16">
        <f>-VLOOKUP(A15,'Deal Volumes'!$A$3:$J$16,10)</f>
        <v>-69750</v>
      </c>
      <c r="C15" s="15">
        <f t="shared" si="2"/>
        <v>36951</v>
      </c>
      <c r="D15" s="17">
        <f t="shared" si="0"/>
        <v>36981</v>
      </c>
      <c r="E15" s="1" t="s">
        <v>31</v>
      </c>
      <c r="F15" s="18" t="s">
        <v>32</v>
      </c>
      <c r="G15" s="59">
        <v>2.613</v>
      </c>
      <c r="H15" s="20">
        <f t="shared" si="3"/>
        <v>2.613</v>
      </c>
      <c r="I15" s="21" t="e">
        <f t="shared" si="4"/>
        <v>#REF!</v>
      </c>
      <c r="J15" s="18">
        <f t="shared" si="5"/>
        <v>0</v>
      </c>
      <c r="K15" s="22">
        <f t="shared" si="6"/>
        <v>31</v>
      </c>
      <c r="L15" s="18">
        <v>1</v>
      </c>
      <c r="M15" s="107">
        <v>6.8173035605607016E-2</v>
      </c>
      <c r="N15" s="24">
        <f t="shared" si="1"/>
        <v>0.8</v>
      </c>
      <c r="O15" s="60">
        <v>0.8</v>
      </c>
      <c r="P15" s="24">
        <v>1</v>
      </c>
      <c r="Q15" s="25">
        <v>0</v>
      </c>
      <c r="R15" s="18">
        <f t="shared" si="7"/>
        <v>1</v>
      </c>
      <c r="S15" s="14">
        <v>0</v>
      </c>
      <c r="T15" s="61" t="e">
        <f ca="1">_xll.OSTRIP(G15,H15,I15,J15,K15,L15,M15,N15,O15,P15,Q15,R15,S15)</f>
        <v>#NAME?</v>
      </c>
      <c r="U15" s="101" t="e">
        <f t="shared" ca="1" si="8"/>
        <v>#NAME?</v>
      </c>
      <c r="V15" s="167"/>
      <c r="W15" s="27"/>
    </row>
    <row r="16" spans="1:26" s="18" customFormat="1" x14ac:dyDescent="0.2">
      <c r="A16" s="15">
        <v>36982</v>
      </c>
      <c r="B16" s="16">
        <f>-VLOOKUP(A16,'Deal Volumes'!$A$3:$J$16,10)</f>
        <v>-67500</v>
      </c>
      <c r="C16" s="15">
        <f t="shared" si="2"/>
        <v>36982</v>
      </c>
      <c r="D16" s="17">
        <f t="shared" si="0"/>
        <v>37011</v>
      </c>
      <c r="E16" s="1" t="s">
        <v>31</v>
      </c>
      <c r="F16" s="18" t="s">
        <v>32</v>
      </c>
      <c r="G16" s="59">
        <v>2.5230000000000001</v>
      </c>
      <c r="H16" s="20">
        <f t="shared" si="3"/>
        <v>2.5230000000000001</v>
      </c>
      <c r="I16" s="21" t="e">
        <f t="shared" si="4"/>
        <v>#REF!</v>
      </c>
      <c r="J16" s="18">
        <f t="shared" si="5"/>
        <v>0</v>
      </c>
      <c r="K16" s="22">
        <f t="shared" si="6"/>
        <v>30</v>
      </c>
      <c r="L16" s="18">
        <v>1</v>
      </c>
      <c r="M16" s="107">
        <v>6.8656219094093002E-2</v>
      </c>
      <c r="N16" s="24">
        <f t="shared" si="1"/>
        <v>0.45</v>
      </c>
      <c r="O16" s="60">
        <v>0.45</v>
      </c>
      <c r="P16" s="24">
        <v>1</v>
      </c>
      <c r="Q16" s="25">
        <v>0</v>
      </c>
      <c r="R16" s="18">
        <f t="shared" si="7"/>
        <v>1</v>
      </c>
      <c r="S16" s="14">
        <v>0</v>
      </c>
      <c r="T16" s="61" t="e">
        <f ca="1">_xll.OSTRIP(G16,H16,I16,J16,K16,L16,M16,N16,O16,P16,Q16,R16,S16)</f>
        <v>#NAME?</v>
      </c>
      <c r="U16" s="101" t="e">
        <f t="shared" ca="1" si="8"/>
        <v>#NAME?</v>
      </c>
      <c r="V16" s="167"/>
      <c r="W16" s="27"/>
    </row>
    <row r="17" spans="1:26" s="18" customFormat="1" x14ac:dyDescent="0.2">
      <c r="A17" s="15">
        <v>37012</v>
      </c>
      <c r="B17" s="16">
        <f>-VLOOKUP(A17,'Deal Volumes'!$A$3:$J$16,10)</f>
        <v>-116250</v>
      </c>
      <c r="C17" s="15">
        <f t="shared" si="2"/>
        <v>37012</v>
      </c>
      <c r="D17" s="17">
        <f t="shared" si="0"/>
        <v>37042</v>
      </c>
      <c r="E17" s="1" t="s">
        <v>31</v>
      </c>
      <c r="F17" s="18" t="s">
        <v>32</v>
      </c>
      <c r="G17" s="59">
        <v>2.488</v>
      </c>
      <c r="H17" s="20">
        <f t="shared" si="3"/>
        <v>2.488</v>
      </c>
      <c r="I17" s="21" t="e">
        <f t="shared" si="4"/>
        <v>#REF!</v>
      </c>
      <c r="J17" s="18">
        <f t="shared" si="5"/>
        <v>0</v>
      </c>
      <c r="K17" s="22">
        <f t="shared" si="6"/>
        <v>31</v>
      </c>
      <c r="L17" s="18">
        <v>1</v>
      </c>
      <c r="M17" s="107">
        <v>6.9045363608288002E-2</v>
      </c>
      <c r="N17" s="24">
        <f t="shared" si="1"/>
        <v>0.5</v>
      </c>
      <c r="O17" s="60">
        <v>0.5</v>
      </c>
      <c r="P17" s="24">
        <v>1</v>
      </c>
      <c r="Q17" s="25">
        <v>0</v>
      </c>
      <c r="R17" s="18">
        <f t="shared" si="7"/>
        <v>1</v>
      </c>
      <c r="S17" s="14">
        <v>0</v>
      </c>
      <c r="T17" s="61" t="e">
        <f ca="1">_xll.OSTRIP(G17,H17,I17,J17,K17,L17,M17,N17,O17,P17,Q17,R17,S17)</f>
        <v>#NAME?</v>
      </c>
      <c r="U17" s="101" t="e">
        <f t="shared" ca="1" si="8"/>
        <v>#NAME?</v>
      </c>
      <c r="V17" s="167"/>
      <c r="W17" s="27"/>
    </row>
    <row r="18" spans="1:26" s="18" customFormat="1" x14ac:dyDescent="0.2">
      <c r="A18" s="15">
        <v>37043</v>
      </c>
      <c r="B18" s="16">
        <f>-VLOOKUP(A18,'Deal Volumes'!$A$3:$J$16,10)</f>
        <v>-112500</v>
      </c>
      <c r="C18" s="15">
        <f t="shared" si="2"/>
        <v>37043</v>
      </c>
      <c r="D18" s="17">
        <f t="shared" si="0"/>
        <v>37072</v>
      </c>
      <c r="E18" s="1" t="s">
        <v>31</v>
      </c>
      <c r="F18" s="18" t="s">
        <v>32</v>
      </c>
      <c r="G18" s="59">
        <v>2.4954999999999998</v>
      </c>
      <c r="H18" s="20">
        <f t="shared" si="3"/>
        <v>2.4954999999999998</v>
      </c>
      <c r="I18" s="21" t="e">
        <f t="shared" si="4"/>
        <v>#REF!</v>
      </c>
      <c r="J18" s="18">
        <f t="shared" si="5"/>
        <v>0</v>
      </c>
      <c r="K18" s="22">
        <f t="shared" si="6"/>
        <v>30</v>
      </c>
      <c r="L18" s="18">
        <v>1</v>
      </c>
      <c r="M18" s="107">
        <v>6.944747965891801E-2</v>
      </c>
      <c r="N18" s="24">
        <f t="shared" si="1"/>
        <v>0.5</v>
      </c>
      <c r="O18" s="60">
        <v>0.5</v>
      </c>
      <c r="P18" s="24">
        <v>1</v>
      </c>
      <c r="Q18" s="25">
        <v>0</v>
      </c>
      <c r="R18" s="18">
        <f t="shared" si="7"/>
        <v>1</v>
      </c>
      <c r="S18" s="14">
        <v>0</v>
      </c>
      <c r="T18" s="61" t="e">
        <f ca="1">_xll.OSTRIP(G18,H18,I18,J18,K18,L18,M18,N18,O18,P18,Q18,R18,S18)</f>
        <v>#NAME?</v>
      </c>
      <c r="U18" s="63" t="e">
        <f t="shared" ca="1" si="8"/>
        <v>#NAME?</v>
      </c>
      <c r="V18" s="167"/>
      <c r="W18" s="27"/>
    </row>
    <row r="19" spans="1:26" s="18" customFormat="1" x14ac:dyDescent="0.2">
      <c r="A19" s="15"/>
      <c r="B19" s="16"/>
      <c r="C19" s="17"/>
      <c r="D19" s="17"/>
      <c r="G19" s="19"/>
      <c r="H19" s="20"/>
      <c r="I19" s="21"/>
      <c r="K19" s="22"/>
      <c r="N19" s="24"/>
      <c r="O19" s="24"/>
      <c r="P19" s="24"/>
      <c r="Q19" s="25"/>
      <c r="S19" s="14"/>
      <c r="T19" s="61"/>
      <c r="U19" s="62" t="e">
        <f ca="1">SUBTOTAL(9,U5:U18)</f>
        <v>#NAME?</v>
      </c>
      <c r="V19" s="62"/>
      <c r="W19" s="62"/>
    </row>
    <row r="20" spans="1:26" s="18" customFormat="1" x14ac:dyDescent="0.2">
      <c r="A20" s="15"/>
      <c r="B20" s="16"/>
      <c r="C20" s="17"/>
      <c r="D20" s="17"/>
      <c r="G20" s="19"/>
      <c r="H20" s="20"/>
      <c r="I20" s="21"/>
      <c r="K20" s="22"/>
      <c r="N20" s="24"/>
      <c r="O20" s="24"/>
      <c r="P20" s="24"/>
      <c r="Q20" s="25"/>
      <c r="S20" s="14"/>
      <c r="T20" s="61"/>
      <c r="U20" s="62"/>
      <c r="V20" s="27"/>
    </row>
    <row r="21" spans="1:26" x14ac:dyDescent="0.2">
      <c r="A21" s="15">
        <f>+A5</f>
        <v>36647</v>
      </c>
      <c r="B21" s="16">
        <f>+B5</f>
        <v>-116250</v>
      </c>
      <c r="C21" s="15">
        <f>+C5</f>
        <v>36647</v>
      </c>
      <c r="D21" s="17">
        <f t="shared" ref="D21:D34" si="9">EOMONTH(C21,0)</f>
        <v>36677</v>
      </c>
      <c r="E21" s="1" t="s">
        <v>31</v>
      </c>
      <c r="F21" s="18" t="s">
        <v>36</v>
      </c>
      <c r="G21" s="19">
        <f>+G5</f>
        <v>2.5710000000000002</v>
      </c>
      <c r="H21" s="20">
        <f>+H5</f>
        <v>2.5710000000000002</v>
      </c>
      <c r="I21" s="21" t="e">
        <f>+A21-$B$2</f>
        <v>#REF!</v>
      </c>
      <c r="J21" s="18">
        <f>+C21-A21</f>
        <v>0</v>
      </c>
      <c r="K21" s="22">
        <f>+D21-C21+1</f>
        <v>31</v>
      </c>
      <c r="L21" s="18">
        <f t="shared" ref="L21:Q21" si="10">+L5</f>
        <v>1</v>
      </c>
      <c r="M21" s="23">
        <f t="shared" si="10"/>
        <v>6.1739896749392023E-2</v>
      </c>
      <c r="N21" s="24">
        <f t="shared" si="10"/>
        <v>0.45</v>
      </c>
      <c r="O21" s="24">
        <f t="shared" si="10"/>
        <v>0.45</v>
      </c>
      <c r="P21" s="24">
        <f t="shared" si="10"/>
        <v>1</v>
      </c>
      <c r="Q21" s="25">
        <f t="shared" si="10"/>
        <v>0</v>
      </c>
      <c r="R21" s="18">
        <f>IF(F21="Call",1,0)</f>
        <v>0</v>
      </c>
      <c r="S21" s="14">
        <v>0</v>
      </c>
      <c r="T21" s="61" t="e">
        <f ca="1">_xll.OSTRIP(G21,H21,I21,J21,K21,L21,M21,N21,O21,P21,Q21,R21,S21)</f>
        <v>#NAME?</v>
      </c>
      <c r="U21" s="62" t="e">
        <f ca="1">T21*B21</f>
        <v>#NAME?</v>
      </c>
      <c r="V21" s="27"/>
      <c r="W21" s="18"/>
      <c r="X21" s="18"/>
      <c r="Y21" s="18"/>
      <c r="Z21" s="18"/>
    </row>
    <row r="22" spans="1:26" x14ac:dyDescent="0.2">
      <c r="A22" s="15">
        <f t="shared" ref="A22:C34" si="11">+A6</f>
        <v>36678</v>
      </c>
      <c r="B22" s="16">
        <f t="shared" ref="B22:C25" si="12">+B6</f>
        <v>-112500</v>
      </c>
      <c r="C22" s="15">
        <f t="shared" si="12"/>
        <v>36678</v>
      </c>
      <c r="D22" s="17">
        <f t="shared" si="9"/>
        <v>36707</v>
      </c>
      <c r="E22" s="1" t="s">
        <v>31</v>
      </c>
      <c r="F22" s="18" t="s">
        <v>36</v>
      </c>
      <c r="G22" s="19">
        <f t="shared" ref="G22:H25" si="13">+G6</f>
        <v>2.5905</v>
      </c>
      <c r="H22" s="20">
        <f t="shared" si="13"/>
        <v>2.5905</v>
      </c>
      <c r="I22" s="21" t="e">
        <f>+A22-$B$2</f>
        <v>#REF!</v>
      </c>
      <c r="J22" s="18">
        <f>+C22-A22</f>
        <v>0</v>
      </c>
      <c r="K22" s="22">
        <f>+D22-C22+1</f>
        <v>30</v>
      </c>
      <c r="L22" s="18">
        <f t="shared" ref="L22:L34" si="14">+L6</f>
        <v>1</v>
      </c>
      <c r="M22" s="23">
        <f t="shared" ref="M22:Q25" si="15">+M6</f>
        <v>6.2588347760123994E-2</v>
      </c>
      <c r="N22" s="24">
        <f t="shared" si="15"/>
        <v>0.5</v>
      </c>
      <c r="O22" s="24">
        <f t="shared" si="15"/>
        <v>0.5</v>
      </c>
      <c r="P22" s="24">
        <f t="shared" si="15"/>
        <v>1</v>
      </c>
      <c r="Q22" s="25">
        <f t="shared" si="15"/>
        <v>0</v>
      </c>
      <c r="R22" s="18">
        <f>IF(F22="Call",1,0)</f>
        <v>0</v>
      </c>
      <c r="S22" s="14">
        <v>0</v>
      </c>
      <c r="T22" s="61" t="e">
        <f ca="1">_xll.OSTRIP(G22,H22,I22,J22,K22,L22,M22,N22,O22,P22,Q22,R22,S22)</f>
        <v>#NAME?</v>
      </c>
      <c r="U22" s="62" t="e">
        <f ca="1">T22*B22</f>
        <v>#NAME?</v>
      </c>
      <c r="V22" s="27"/>
      <c r="W22" s="18"/>
      <c r="X22" s="18"/>
      <c r="Y22" s="18"/>
      <c r="Z22" s="18"/>
    </row>
    <row r="23" spans="1:26" x14ac:dyDescent="0.2">
      <c r="A23" s="15">
        <f t="shared" si="11"/>
        <v>36708</v>
      </c>
      <c r="B23" s="16">
        <f t="shared" si="12"/>
        <v>-155000</v>
      </c>
      <c r="C23" s="15">
        <f t="shared" si="12"/>
        <v>36708</v>
      </c>
      <c r="D23" s="17">
        <f t="shared" si="9"/>
        <v>36738</v>
      </c>
      <c r="E23" s="1" t="s">
        <v>31</v>
      </c>
      <c r="F23" s="18" t="s">
        <v>36</v>
      </c>
      <c r="G23" s="19">
        <f t="shared" si="13"/>
        <v>2.6070000000000002</v>
      </c>
      <c r="H23" s="20">
        <f t="shared" si="13"/>
        <v>2.6070000000000002</v>
      </c>
      <c r="I23" s="21" t="e">
        <f>+A23-$B$2</f>
        <v>#REF!</v>
      </c>
      <c r="J23" s="18">
        <f>+C23-A23</f>
        <v>0</v>
      </c>
      <c r="K23" s="22">
        <f>+D23-C23+1</f>
        <v>31</v>
      </c>
      <c r="L23" s="18">
        <f t="shared" si="14"/>
        <v>1</v>
      </c>
      <c r="M23" s="23">
        <f t="shared" si="15"/>
        <v>6.3435677173907024E-2</v>
      </c>
      <c r="N23" s="24">
        <f t="shared" si="15"/>
        <v>0.5</v>
      </c>
      <c r="O23" s="24">
        <f t="shared" si="15"/>
        <v>0.5</v>
      </c>
      <c r="P23" s="24">
        <f t="shared" si="15"/>
        <v>1</v>
      </c>
      <c r="Q23" s="25">
        <f t="shared" si="15"/>
        <v>0</v>
      </c>
      <c r="R23" s="18">
        <f>IF(F23="Call",1,0)</f>
        <v>0</v>
      </c>
      <c r="S23" s="14">
        <v>0</v>
      </c>
      <c r="T23" s="61" t="e">
        <f ca="1">_xll.OSTRIP(G23,H23,I23,J23,K23,L23,M23,N23,O23,P23,Q23,R23,S23)</f>
        <v>#NAME?</v>
      </c>
      <c r="U23" s="62" t="e">
        <f ca="1">T23*B23</f>
        <v>#NAME?</v>
      </c>
      <c r="V23" s="27"/>
      <c r="W23" s="18"/>
      <c r="X23" s="18"/>
      <c r="Y23" s="18"/>
      <c r="Z23" s="18"/>
    </row>
    <row r="24" spans="1:26" x14ac:dyDescent="0.2">
      <c r="A24" s="15">
        <f t="shared" si="11"/>
        <v>36739</v>
      </c>
      <c r="B24" s="16">
        <f t="shared" si="12"/>
        <v>-155000</v>
      </c>
      <c r="C24" s="15">
        <f t="shared" si="12"/>
        <v>36739</v>
      </c>
      <c r="D24" s="17">
        <f t="shared" si="9"/>
        <v>36769</v>
      </c>
      <c r="E24" s="1" t="s">
        <v>31</v>
      </c>
      <c r="F24" s="18" t="s">
        <v>36</v>
      </c>
      <c r="G24" s="19">
        <f t="shared" si="13"/>
        <v>2.6234999999999999</v>
      </c>
      <c r="H24" s="20">
        <f t="shared" si="13"/>
        <v>2.6234999999999999</v>
      </c>
      <c r="I24" s="21" t="e">
        <f>+A24-$B$2</f>
        <v>#REF!</v>
      </c>
      <c r="J24" s="18">
        <f>+C24-A24</f>
        <v>0</v>
      </c>
      <c r="K24" s="22">
        <f>+D24-C24+1</f>
        <v>31</v>
      </c>
      <c r="L24" s="18">
        <f t="shared" si="14"/>
        <v>1</v>
      </c>
      <c r="M24" s="23">
        <f t="shared" si="15"/>
        <v>6.4112455868492998E-2</v>
      </c>
      <c r="N24" s="24">
        <f t="shared" si="15"/>
        <v>0.55000000000000004</v>
      </c>
      <c r="O24" s="24">
        <f t="shared" si="15"/>
        <v>0.55000000000000004</v>
      </c>
      <c r="P24" s="24">
        <f t="shared" si="15"/>
        <v>1</v>
      </c>
      <c r="Q24" s="25">
        <f t="shared" si="15"/>
        <v>0</v>
      </c>
      <c r="R24" s="18">
        <f>IF(F24="Call",1,0)</f>
        <v>0</v>
      </c>
      <c r="S24" s="14">
        <v>0</v>
      </c>
      <c r="T24" s="61" t="e">
        <f ca="1">_xll.OSTRIP(G24,H24,I24,J24,K24,L24,M24,N24,O24,P24,Q24,R24,S24)</f>
        <v>#NAME?</v>
      </c>
      <c r="U24" s="62" t="e">
        <f ca="1">T24*B24</f>
        <v>#NAME?</v>
      </c>
      <c r="V24" s="18"/>
      <c r="W24" s="18"/>
      <c r="X24" s="18"/>
      <c r="Y24" s="18"/>
      <c r="Z24" s="18"/>
    </row>
    <row r="25" spans="1:26" x14ac:dyDescent="0.2">
      <c r="A25" s="15">
        <f t="shared" si="11"/>
        <v>36770</v>
      </c>
      <c r="B25" s="16">
        <f t="shared" si="12"/>
        <v>-150000</v>
      </c>
      <c r="C25" s="15">
        <f t="shared" si="12"/>
        <v>36770</v>
      </c>
      <c r="D25" s="17">
        <f t="shared" si="9"/>
        <v>36799</v>
      </c>
      <c r="E25" s="1" t="s">
        <v>31</v>
      </c>
      <c r="F25" s="18" t="s">
        <v>36</v>
      </c>
      <c r="G25" s="19">
        <f t="shared" si="13"/>
        <v>2.6230000000000002</v>
      </c>
      <c r="H25" s="20">
        <f t="shared" si="13"/>
        <v>2.6230000000000002</v>
      </c>
      <c r="I25" s="21" t="e">
        <f>+A25-$B$2</f>
        <v>#REF!</v>
      </c>
      <c r="J25" s="18">
        <f>+C25-A25</f>
        <v>0</v>
      </c>
      <c r="K25" s="22">
        <f>+D25-C25+1</f>
        <v>30</v>
      </c>
      <c r="L25" s="18">
        <f t="shared" si="14"/>
        <v>1</v>
      </c>
      <c r="M25" s="23">
        <f t="shared" si="15"/>
        <v>6.4789234714962021E-2</v>
      </c>
      <c r="N25" s="24">
        <f t="shared" si="15"/>
        <v>0.55000000000000004</v>
      </c>
      <c r="O25" s="24">
        <f t="shared" si="15"/>
        <v>0.55000000000000004</v>
      </c>
      <c r="P25" s="24">
        <f t="shared" si="15"/>
        <v>1</v>
      </c>
      <c r="Q25" s="25">
        <f t="shared" si="15"/>
        <v>0</v>
      </c>
      <c r="R25" s="18">
        <f>IF(F25="Call",1,0)</f>
        <v>0</v>
      </c>
      <c r="S25" s="14">
        <v>0</v>
      </c>
      <c r="T25" s="61" t="e">
        <f ca="1">_xll.OSTRIP(G25,H25,I25,J25,K25,L25,M25,N25,O25,P25,Q25,R25,S25)</f>
        <v>#NAME?</v>
      </c>
      <c r="U25" s="101" t="e">
        <f ca="1">T25*B25</f>
        <v>#NAME?</v>
      </c>
      <c r="V25" s="18"/>
      <c r="W25" s="18"/>
      <c r="X25" s="18"/>
      <c r="Y25" s="18"/>
      <c r="Z25" s="18"/>
    </row>
    <row r="26" spans="1:26" s="18" customFormat="1" x14ac:dyDescent="0.2">
      <c r="A26" s="15">
        <f t="shared" si="11"/>
        <v>36800</v>
      </c>
      <c r="B26" s="16">
        <f t="shared" si="11"/>
        <v>-69750</v>
      </c>
      <c r="C26" s="15">
        <f t="shared" si="11"/>
        <v>36800</v>
      </c>
      <c r="D26" s="17">
        <f t="shared" si="9"/>
        <v>36830</v>
      </c>
      <c r="E26" s="1" t="s">
        <v>31</v>
      </c>
      <c r="F26" s="18" t="s">
        <v>36</v>
      </c>
      <c r="G26" s="19">
        <f t="shared" ref="G26:H34" si="16">+G10</f>
        <v>2.6480000000000001</v>
      </c>
      <c r="H26" s="20">
        <f t="shared" si="16"/>
        <v>2.6480000000000001</v>
      </c>
      <c r="I26" s="21" t="e">
        <f t="shared" ref="I26:I34" si="17">+A26-$B$2</f>
        <v>#REF!</v>
      </c>
      <c r="J26" s="18">
        <f t="shared" ref="J26:J34" si="18">+C26-A26</f>
        <v>0</v>
      </c>
      <c r="K26" s="22">
        <f t="shared" ref="K26:K34" si="19">+D26-C26+1</f>
        <v>31</v>
      </c>
      <c r="L26" s="18">
        <f t="shared" si="14"/>
        <v>1</v>
      </c>
      <c r="M26" s="23">
        <f t="shared" ref="M26:Q34" si="20">+M10</f>
        <v>6.5417688435194007E-2</v>
      </c>
      <c r="N26" s="24">
        <f t="shared" si="20"/>
        <v>0.5</v>
      </c>
      <c r="O26" s="24">
        <f t="shared" si="20"/>
        <v>0.5</v>
      </c>
      <c r="P26" s="24">
        <f t="shared" si="20"/>
        <v>1</v>
      </c>
      <c r="Q26" s="25">
        <f t="shared" si="20"/>
        <v>0</v>
      </c>
      <c r="R26" s="18">
        <f t="shared" ref="R26:R34" si="21">IF(F26="Call",1,0)</f>
        <v>0</v>
      </c>
      <c r="S26" s="14">
        <v>0</v>
      </c>
      <c r="T26" s="61" t="e">
        <f ca="1">_xll.OSTRIP(G26,H26,I26,J26,K26,L26,M26,N26,O26,P26,Q26,R26,S26)</f>
        <v>#NAME?</v>
      </c>
      <c r="U26" s="101" t="e">
        <f t="shared" ref="U26:U34" ca="1" si="22">T26*B26</f>
        <v>#NAME?</v>
      </c>
    </row>
    <row r="27" spans="1:26" s="18" customFormat="1" x14ac:dyDescent="0.2">
      <c r="A27" s="15">
        <f t="shared" si="11"/>
        <v>36831</v>
      </c>
      <c r="B27" s="16">
        <f t="shared" si="11"/>
        <v>-67500</v>
      </c>
      <c r="C27" s="15">
        <f t="shared" si="11"/>
        <v>36831</v>
      </c>
      <c r="D27" s="17">
        <f t="shared" si="9"/>
        <v>36860</v>
      </c>
      <c r="E27" s="1" t="s">
        <v>31</v>
      </c>
      <c r="F27" s="18" t="s">
        <v>36</v>
      </c>
      <c r="G27" s="19">
        <f t="shared" si="16"/>
        <v>2.7429999999999999</v>
      </c>
      <c r="H27" s="20">
        <f t="shared" si="16"/>
        <v>2.7429999999999999</v>
      </c>
      <c r="I27" s="21" t="e">
        <f t="shared" si="17"/>
        <v>#REF!</v>
      </c>
      <c r="J27" s="18">
        <f t="shared" si="18"/>
        <v>0</v>
      </c>
      <c r="K27" s="22">
        <f t="shared" si="19"/>
        <v>30</v>
      </c>
      <c r="L27" s="18">
        <f t="shared" si="14"/>
        <v>1</v>
      </c>
      <c r="M27" s="23">
        <f t="shared" si="20"/>
        <v>6.6017878160483018E-2</v>
      </c>
      <c r="N27" s="24">
        <f t="shared" si="20"/>
        <v>0.85</v>
      </c>
      <c r="O27" s="24">
        <f t="shared" si="20"/>
        <v>0.85</v>
      </c>
      <c r="P27" s="24">
        <f t="shared" si="20"/>
        <v>1</v>
      </c>
      <c r="Q27" s="25">
        <f t="shared" si="20"/>
        <v>0</v>
      </c>
      <c r="R27" s="18">
        <f t="shared" si="21"/>
        <v>0</v>
      </c>
      <c r="S27" s="14">
        <v>0</v>
      </c>
      <c r="T27" s="61" t="e">
        <f ca="1">_xll.OSTRIP(G27,H27,I27,J27,K27,L27,M27,N27,O27,P27,Q27,R27,S27)</f>
        <v>#NAME?</v>
      </c>
      <c r="U27" s="101" t="e">
        <f t="shared" ca="1" si="22"/>
        <v>#NAME?</v>
      </c>
    </row>
    <row r="28" spans="1:26" s="18" customFormat="1" x14ac:dyDescent="0.2">
      <c r="A28" s="15">
        <f t="shared" si="11"/>
        <v>36861</v>
      </c>
      <c r="B28" s="16">
        <f t="shared" si="11"/>
        <v>-69750</v>
      </c>
      <c r="C28" s="15">
        <f t="shared" si="11"/>
        <v>36861</v>
      </c>
      <c r="D28" s="17">
        <f t="shared" si="9"/>
        <v>36891</v>
      </c>
      <c r="E28" s="1" t="s">
        <v>31</v>
      </c>
      <c r="F28" s="18" t="s">
        <v>36</v>
      </c>
      <c r="G28" s="19">
        <f t="shared" si="16"/>
        <v>2.8454999999999999</v>
      </c>
      <c r="H28" s="20">
        <f t="shared" si="16"/>
        <v>2.8454999999999999</v>
      </c>
      <c r="I28" s="21" t="e">
        <f t="shared" si="17"/>
        <v>#REF!</v>
      </c>
      <c r="J28" s="18">
        <f t="shared" si="18"/>
        <v>0</v>
      </c>
      <c r="K28" s="22">
        <f t="shared" si="19"/>
        <v>31</v>
      </c>
      <c r="L28" s="18">
        <f t="shared" si="14"/>
        <v>1</v>
      </c>
      <c r="M28" s="23">
        <f t="shared" si="20"/>
        <v>6.6598707040522009E-2</v>
      </c>
      <c r="N28" s="24">
        <f t="shared" si="20"/>
        <v>1.05</v>
      </c>
      <c r="O28" s="24">
        <f t="shared" si="20"/>
        <v>1.05</v>
      </c>
      <c r="P28" s="24">
        <f t="shared" si="20"/>
        <v>1</v>
      </c>
      <c r="Q28" s="25">
        <f t="shared" si="20"/>
        <v>0</v>
      </c>
      <c r="R28" s="18">
        <f t="shared" si="21"/>
        <v>0</v>
      </c>
      <c r="S28" s="14">
        <v>0</v>
      </c>
      <c r="T28" s="61" t="e">
        <f ca="1">_xll.OSTRIP(G28,H28,I28,J28,K28,L28,M28,N28,O28,P28,Q28,R28,S28)</f>
        <v>#NAME?</v>
      </c>
      <c r="U28" s="101" t="e">
        <f t="shared" ca="1" si="22"/>
        <v>#NAME?</v>
      </c>
    </row>
    <row r="29" spans="1:26" s="18" customFormat="1" x14ac:dyDescent="0.2">
      <c r="A29" s="15">
        <f t="shared" si="11"/>
        <v>36892</v>
      </c>
      <c r="B29" s="16">
        <f t="shared" si="11"/>
        <v>-69750</v>
      </c>
      <c r="C29" s="15">
        <f t="shared" si="11"/>
        <v>36892</v>
      </c>
      <c r="D29" s="17">
        <f t="shared" si="9"/>
        <v>36922</v>
      </c>
      <c r="E29" s="1" t="s">
        <v>31</v>
      </c>
      <c r="F29" s="18" t="s">
        <v>36</v>
      </c>
      <c r="G29" s="19">
        <f t="shared" si="16"/>
        <v>2.8679999999999999</v>
      </c>
      <c r="H29" s="20">
        <f t="shared" si="16"/>
        <v>2.8679999999999999</v>
      </c>
      <c r="I29" s="21" t="e">
        <f t="shared" si="17"/>
        <v>#REF!</v>
      </c>
      <c r="J29" s="18">
        <f t="shared" si="18"/>
        <v>0</v>
      </c>
      <c r="K29" s="22">
        <f t="shared" si="19"/>
        <v>31</v>
      </c>
      <c r="L29" s="18">
        <f t="shared" si="14"/>
        <v>1</v>
      </c>
      <c r="M29" s="23">
        <f t="shared" si="20"/>
        <v>6.7170475814310016E-2</v>
      </c>
      <c r="N29" s="24">
        <f t="shared" si="20"/>
        <v>1.05</v>
      </c>
      <c r="O29" s="24">
        <f t="shared" si="20"/>
        <v>1.05</v>
      </c>
      <c r="P29" s="24">
        <f t="shared" si="20"/>
        <v>1</v>
      </c>
      <c r="Q29" s="25">
        <f t="shared" si="20"/>
        <v>0</v>
      </c>
      <c r="R29" s="18">
        <f t="shared" si="21"/>
        <v>0</v>
      </c>
      <c r="S29" s="14">
        <v>0</v>
      </c>
      <c r="T29" s="61" t="e">
        <f ca="1">_xll.OSTRIP(G29,H29,I29,J29,K29,L29,M29,N29,O29,P29,Q29,R29,S29)</f>
        <v>#NAME?</v>
      </c>
      <c r="U29" s="101" t="e">
        <f t="shared" ca="1" si="22"/>
        <v>#NAME?</v>
      </c>
    </row>
    <row r="30" spans="1:26" s="18" customFormat="1" x14ac:dyDescent="0.2">
      <c r="A30" s="15">
        <f t="shared" si="11"/>
        <v>36923</v>
      </c>
      <c r="B30" s="16">
        <f t="shared" si="11"/>
        <v>-63000</v>
      </c>
      <c r="C30" s="15">
        <f t="shared" si="11"/>
        <v>36923</v>
      </c>
      <c r="D30" s="17">
        <f t="shared" si="9"/>
        <v>36950</v>
      </c>
      <c r="E30" s="1" t="s">
        <v>31</v>
      </c>
      <c r="F30" s="18" t="s">
        <v>36</v>
      </c>
      <c r="G30" s="19">
        <f t="shared" si="16"/>
        <v>2.7334999999999998</v>
      </c>
      <c r="H30" s="20">
        <f t="shared" si="16"/>
        <v>2.7334999999999998</v>
      </c>
      <c r="I30" s="21" t="e">
        <f t="shared" si="17"/>
        <v>#REF!</v>
      </c>
      <c r="J30" s="18">
        <f t="shared" si="18"/>
        <v>0</v>
      </c>
      <c r="K30" s="22">
        <f t="shared" si="19"/>
        <v>28</v>
      </c>
      <c r="L30" s="18">
        <f t="shared" si="14"/>
        <v>1</v>
      </c>
      <c r="M30" s="23">
        <f t="shared" si="20"/>
        <v>6.7697244476728993E-2</v>
      </c>
      <c r="N30" s="24">
        <f t="shared" si="20"/>
        <v>1.05</v>
      </c>
      <c r="O30" s="24">
        <f t="shared" si="20"/>
        <v>1.05</v>
      </c>
      <c r="P30" s="24">
        <f t="shared" si="20"/>
        <v>1</v>
      </c>
      <c r="Q30" s="25">
        <f t="shared" si="20"/>
        <v>0</v>
      </c>
      <c r="R30" s="18">
        <f t="shared" si="21"/>
        <v>0</v>
      </c>
      <c r="S30" s="14">
        <v>0</v>
      </c>
      <c r="T30" s="61" t="e">
        <f ca="1">_xll.OSTRIP(G30,H30,I30,J30,K30,L30,M30,N30,O30,P30,Q30,R30,S30)</f>
        <v>#NAME?</v>
      </c>
      <c r="U30" s="101" t="e">
        <f t="shared" ca="1" si="22"/>
        <v>#NAME?</v>
      </c>
    </row>
    <row r="31" spans="1:26" s="18" customFormat="1" x14ac:dyDescent="0.2">
      <c r="A31" s="15">
        <f t="shared" si="11"/>
        <v>36951</v>
      </c>
      <c r="B31" s="16">
        <f t="shared" si="11"/>
        <v>-69750</v>
      </c>
      <c r="C31" s="15">
        <f t="shared" si="11"/>
        <v>36951</v>
      </c>
      <c r="D31" s="17">
        <f t="shared" si="9"/>
        <v>36981</v>
      </c>
      <c r="E31" s="1" t="s">
        <v>31</v>
      </c>
      <c r="F31" s="18" t="s">
        <v>36</v>
      </c>
      <c r="G31" s="19">
        <f t="shared" si="16"/>
        <v>2.613</v>
      </c>
      <c r="H31" s="20">
        <f t="shared" si="16"/>
        <v>2.613</v>
      </c>
      <c r="I31" s="21" t="e">
        <f t="shared" si="17"/>
        <v>#REF!</v>
      </c>
      <c r="J31" s="18">
        <f t="shared" si="18"/>
        <v>0</v>
      </c>
      <c r="K31" s="22">
        <f t="shared" si="19"/>
        <v>31</v>
      </c>
      <c r="L31" s="18">
        <f t="shared" si="14"/>
        <v>1</v>
      </c>
      <c r="M31" s="23">
        <f t="shared" si="20"/>
        <v>6.8173035605607016E-2</v>
      </c>
      <c r="N31" s="24">
        <f t="shared" si="20"/>
        <v>0.8</v>
      </c>
      <c r="O31" s="24">
        <f t="shared" si="20"/>
        <v>0.8</v>
      </c>
      <c r="P31" s="24">
        <f t="shared" si="20"/>
        <v>1</v>
      </c>
      <c r="Q31" s="25">
        <f t="shared" si="20"/>
        <v>0</v>
      </c>
      <c r="R31" s="18">
        <f t="shared" si="21"/>
        <v>0</v>
      </c>
      <c r="S31" s="14">
        <v>0</v>
      </c>
      <c r="T31" s="61" t="e">
        <f ca="1">_xll.OSTRIP(G31,H31,I31,J31,K31,L31,M31,N31,O31,P31,Q31,R31,S31)</f>
        <v>#NAME?</v>
      </c>
      <c r="U31" s="101" t="e">
        <f t="shared" ca="1" si="22"/>
        <v>#NAME?</v>
      </c>
    </row>
    <row r="32" spans="1:26" s="18" customFormat="1" x14ac:dyDescent="0.2">
      <c r="A32" s="15">
        <f t="shared" si="11"/>
        <v>36982</v>
      </c>
      <c r="B32" s="16">
        <f t="shared" si="11"/>
        <v>-67500</v>
      </c>
      <c r="C32" s="15">
        <f t="shared" si="11"/>
        <v>36982</v>
      </c>
      <c r="D32" s="17">
        <f t="shared" si="9"/>
        <v>37011</v>
      </c>
      <c r="E32" s="1" t="s">
        <v>31</v>
      </c>
      <c r="F32" s="18" t="s">
        <v>36</v>
      </c>
      <c r="G32" s="19">
        <f t="shared" si="16"/>
        <v>2.5230000000000001</v>
      </c>
      <c r="H32" s="20">
        <f t="shared" si="16"/>
        <v>2.5230000000000001</v>
      </c>
      <c r="I32" s="21" t="e">
        <f t="shared" si="17"/>
        <v>#REF!</v>
      </c>
      <c r="J32" s="18">
        <f t="shared" si="18"/>
        <v>0</v>
      </c>
      <c r="K32" s="22">
        <f t="shared" si="19"/>
        <v>30</v>
      </c>
      <c r="L32" s="18">
        <f t="shared" si="14"/>
        <v>1</v>
      </c>
      <c r="M32" s="23">
        <f t="shared" si="20"/>
        <v>6.8656219094093002E-2</v>
      </c>
      <c r="N32" s="24">
        <f t="shared" si="20"/>
        <v>0.45</v>
      </c>
      <c r="O32" s="24">
        <f t="shared" si="20"/>
        <v>0.45</v>
      </c>
      <c r="P32" s="24">
        <f t="shared" si="20"/>
        <v>1</v>
      </c>
      <c r="Q32" s="25">
        <f t="shared" si="20"/>
        <v>0</v>
      </c>
      <c r="R32" s="18">
        <f t="shared" si="21"/>
        <v>0</v>
      </c>
      <c r="S32" s="14">
        <v>0</v>
      </c>
      <c r="T32" s="61" t="e">
        <f ca="1">_xll.OSTRIP(G32,H32,I32,J32,K32,L32,M32,N32,O32,P32,Q32,R32,S32)</f>
        <v>#NAME?</v>
      </c>
      <c r="U32" s="101" t="e">
        <f t="shared" ca="1" si="22"/>
        <v>#NAME?</v>
      </c>
    </row>
    <row r="33" spans="1:22" s="18" customFormat="1" x14ac:dyDescent="0.2">
      <c r="A33" s="15">
        <f t="shared" si="11"/>
        <v>37012</v>
      </c>
      <c r="B33" s="16">
        <f t="shared" si="11"/>
        <v>-116250</v>
      </c>
      <c r="C33" s="15">
        <f t="shared" si="11"/>
        <v>37012</v>
      </c>
      <c r="D33" s="17">
        <f t="shared" si="9"/>
        <v>37042</v>
      </c>
      <c r="E33" s="1" t="s">
        <v>31</v>
      </c>
      <c r="F33" s="18" t="s">
        <v>36</v>
      </c>
      <c r="G33" s="19">
        <f t="shared" si="16"/>
        <v>2.488</v>
      </c>
      <c r="H33" s="20">
        <f t="shared" si="16"/>
        <v>2.488</v>
      </c>
      <c r="I33" s="21" t="e">
        <f t="shared" si="17"/>
        <v>#REF!</v>
      </c>
      <c r="J33" s="18">
        <f t="shared" si="18"/>
        <v>0</v>
      </c>
      <c r="K33" s="22">
        <f t="shared" si="19"/>
        <v>31</v>
      </c>
      <c r="L33" s="18">
        <f t="shared" si="14"/>
        <v>1</v>
      </c>
      <c r="M33" s="23">
        <f t="shared" si="20"/>
        <v>6.9045363608288002E-2</v>
      </c>
      <c r="N33" s="24">
        <f t="shared" si="20"/>
        <v>0.5</v>
      </c>
      <c r="O33" s="24">
        <f t="shared" si="20"/>
        <v>0.5</v>
      </c>
      <c r="P33" s="24">
        <f t="shared" si="20"/>
        <v>1</v>
      </c>
      <c r="Q33" s="25">
        <f t="shared" si="20"/>
        <v>0</v>
      </c>
      <c r="R33" s="18">
        <f t="shared" si="21"/>
        <v>0</v>
      </c>
      <c r="S33" s="14">
        <v>0</v>
      </c>
      <c r="T33" s="61" t="e">
        <f ca="1">_xll.OSTRIP(G33,H33,I33,J33,K33,L33,M33,N33,O33,P33,Q33,R33,S33)</f>
        <v>#NAME?</v>
      </c>
      <c r="U33" s="101" t="e">
        <f t="shared" ca="1" si="22"/>
        <v>#NAME?</v>
      </c>
    </row>
    <row r="34" spans="1:22" s="18" customFormat="1" x14ac:dyDescent="0.2">
      <c r="A34" s="15">
        <f t="shared" si="11"/>
        <v>37043</v>
      </c>
      <c r="B34" s="16">
        <f t="shared" si="11"/>
        <v>-112500</v>
      </c>
      <c r="C34" s="15">
        <f t="shared" si="11"/>
        <v>37043</v>
      </c>
      <c r="D34" s="17">
        <f t="shared" si="9"/>
        <v>37072</v>
      </c>
      <c r="E34" s="1" t="s">
        <v>31</v>
      </c>
      <c r="F34" s="18" t="s">
        <v>36</v>
      </c>
      <c r="G34" s="19">
        <f t="shared" si="16"/>
        <v>2.4954999999999998</v>
      </c>
      <c r="H34" s="20">
        <f t="shared" si="16"/>
        <v>2.4954999999999998</v>
      </c>
      <c r="I34" s="21" t="e">
        <f t="shared" si="17"/>
        <v>#REF!</v>
      </c>
      <c r="J34" s="18">
        <f t="shared" si="18"/>
        <v>0</v>
      </c>
      <c r="K34" s="22">
        <f t="shared" si="19"/>
        <v>30</v>
      </c>
      <c r="L34" s="18">
        <f t="shared" si="14"/>
        <v>1</v>
      </c>
      <c r="M34" s="23">
        <f t="shared" si="20"/>
        <v>6.944747965891801E-2</v>
      </c>
      <c r="N34" s="24">
        <f t="shared" si="20"/>
        <v>0.5</v>
      </c>
      <c r="O34" s="24">
        <f t="shared" si="20"/>
        <v>0.5</v>
      </c>
      <c r="P34" s="24">
        <f t="shared" si="20"/>
        <v>1</v>
      </c>
      <c r="Q34" s="25">
        <f t="shared" si="20"/>
        <v>0</v>
      </c>
      <c r="R34" s="18">
        <f t="shared" si="21"/>
        <v>0</v>
      </c>
      <c r="S34" s="14">
        <v>0</v>
      </c>
      <c r="T34" s="61" t="e">
        <f ca="1">_xll.OSTRIP(G34,H34,I34,J34,K34,L34,M34,N34,O34,P34,Q34,R34,S34)</f>
        <v>#NAME?</v>
      </c>
      <c r="U34" s="63" t="e">
        <f t="shared" ca="1" si="22"/>
        <v>#NAME?</v>
      </c>
    </row>
    <row r="35" spans="1:22" s="18" customFormat="1" x14ac:dyDescent="0.2">
      <c r="B35" s="28"/>
      <c r="C35" s="16"/>
      <c r="E35" s="17"/>
      <c r="H35" s="29"/>
      <c r="J35" s="21"/>
      <c r="L35" s="22"/>
      <c r="O35" s="30"/>
      <c r="P35" s="24"/>
      <c r="Q35" s="24"/>
      <c r="R35" s="25"/>
      <c r="U35" s="62" t="e">
        <f ca="1">SUBTOTAL(9,U21:U34)</f>
        <v>#NAME?</v>
      </c>
    </row>
    <row r="36" spans="1:22" s="18" customFormat="1" ht="13.5" thickBot="1" x14ac:dyDescent="0.25">
      <c r="A36" s="31"/>
      <c r="B36" s="28"/>
      <c r="C36" s="16"/>
      <c r="D36" s="17"/>
      <c r="E36" s="17"/>
      <c r="H36" s="29"/>
      <c r="J36" s="21"/>
      <c r="L36" s="22"/>
      <c r="O36" s="30"/>
      <c r="P36" s="24"/>
      <c r="Q36" s="24"/>
      <c r="R36" s="25"/>
      <c r="U36" s="64"/>
      <c r="V36" s="26"/>
    </row>
    <row r="37" spans="1:22" s="18" customFormat="1" ht="13.5" thickBot="1" x14ac:dyDescent="0.25">
      <c r="B37" s="28"/>
      <c r="C37" s="16"/>
      <c r="E37" s="17"/>
      <c r="H37" s="29"/>
      <c r="L37" s="22"/>
      <c r="O37" s="30"/>
      <c r="Q37" s="24"/>
      <c r="S37" s="32" t="s">
        <v>37</v>
      </c>
      <c r="T37" s="33"/>
      <c r="U37" s="65" t="e">
        <f ca="1">SUBTOTAL(9,U5:U35)</f>
        <v>#NAME?</v>
      </c>
    </row>
    <row r="38" spans="1:22" x14ac:dyDescent="0.2">
      <c r="B38" s="34"/>
      <c r="C38" s="35"/>
      <c r="E38" s="36"/>
      <c r="H38" s="37"/>
      <c r="L38" s="38"/>
      <c r="O38" s="39"/>
      <c r="Q38" s="40"/>
      <c r="R38" s="18"/>
      <c r="S38" s="57"/>
      <c r="T38" s="9"/>
      <c r="U38" s="108" t="e">
        <f ca="1">+U37/'Deal Volumes'!H17</f>
        <v>#NAME?</v>
      </c>
      <c r="V38" s="38"/>
    </row>
    <row r="39" spans="1:22" x14ac:dyDescent="0.2">
      <c r="B39" s="34"/>
      <c r="C39" s="35"/>
      <c r="E39" s="36"/>
      <c r="H39" s="37"/>
      <c r="L39" s="38"/>
      <c r="O39" s="39"/>
      <c r="Q39" s="40"/>
      <c r="R39" s="18"/>
      <c r="S39" s="57"/>
      <c r="T39" s="9"/>
      <c r="U39" s="58"/>
      <c r="V39" s="38"/>
    </row>
    <row r="40" spans="1:22" x14ac:dyDescent="0.2">
      <c r="B40" s="34"/>
      <c r="C40" s="35"/>
      <c r="E40" s="36"/>
      <c r="H40" s="37"/>
      <c r="L40" s="38"/>
      <c r="O40" s="39"/>
      <c r="Q40" s="40"/>
      <c r="R40" s="41"/>
      <c r="U40" s="42"/>
      <c r="V40" s="38"/>
    </row>
    <row r="41" spans="1:22" x14ac:dyDescent="0.2">
      <c r="B41" s="34"/>
      <c r="C41" s="35"/>
      <c r="E41" s="36"/>
      <c r="H41" s="37"/>
      <c r="L41" s="38"/>
      <c r="O41" s="39"/>
      <c r="Q41" s="40"/>
      <c r="R41" s="43" t="s">
        <v>38</v>
      </c>
      <c r="S41" s="44">
        <v>0</v>
      </c>
      <c r="T41" s="45" t="s">
        <v>41</v>
      </c>
      <c r="U41" s="46"/>
      <c r="V41" s="38"/>
    </row>
    <row r="42" spans="1:22" x14ac:dyDescent="0.2">
      <c r="B42" s="34"/>
      <c r="C42" s="35"/>
      <c r="E42" s="36"/>
      <c r="H42" s="37"/>
      <c r="L42" s="38"/>
      <c r="O42" s="39"/>
      <c r="Q42" s="40"/>
      <c r="R42" s="47"/>
      <c r="S42" s="48">
        <v>1</v>
      </c>
      <c r="T42" s="49" t="s">
        <v>42</v>
      </c>
      <c r="U42" s="50"/>
      <c r="V42" s="38"/>
    </row>
    <row r="43" spans="1:22" x14ac:dyDescent="0.2">
      <c r="B43" s="34"/>
      <c r="C43" s="35"/>
      <c r="E43" s="36"/>
      <c r="H43" s="37"/>
      <c r="L43" s="38"/>
      <c r="O43" s="39"/>
      <c r="Q43" s="40"/>
      <c r="R43" s="47"/>
      <c r="S43" s="48">
        <v>2</v>
      </c>
      <c r="T43" s="49" t="s">
        <v>43</v>
      </c>
      <c r="U43" s="50"/>
      <c r="V43" s="38"/>
    </row>
    <row r="44" spans="1:22" x14ac:dyDescent="0.2">
      <c r="B44" s="34"/>
      <c r="C44" s="35"/>
      <c r="E44" s="36"/>
      <c r="H44" s="37"/>
      <c r="L44" s="38"/>
      <c r="O44" s="39"/>
      <c r="Q44" s="40"/>
      <c r="R44" s="47"/>
      <c r="S44" s="48">
        <v>3</v>
      </c>
      <c r="T44" s="49" t="s">
        <v>44</v>
      </c>
      <c r="U44" s="50"/>
      <c r="V44" s="38"/>
    </row>
    <row r="45" spans="1:22" x14ac:dyDescent="0.2">
      <c r="B45" s="34"/>
      <c r="C45" s="35"/>
      <c r="E45" s="36"/>
      <c r="H45" s="37"/>
      <c r="L45" s="38"/>
      <c r="O45" s="39"/>
      <c r="Q45" s="40"/>
      <c r="R45" s="47"/>
      <c r="S45" s="48">
        <v>4</v>
      </c>
      <c r="T45" s="49" t="s">
        <v>45</v>
      </c>
      <c r="U45" s="50"/>
      <c r="V45" s="38"/>
    </row>
    <row r="46" spans="1:22" x14ac:dyDescent="0.2">
      <c r="B46" s="34"/>
      <c r="C46" s="35"/>
      <c r="E46" s="36"/>
      <c r="H46" s="37"/>
      <c r="L46" s="38"/>
      <c r="O46" s="39"/>
      <c r="Q46" s="40"/>
      <c r="R46" s="47"/>
      <c r="S46" s="48">
        <v>5</v>
      </c>
      <c r="T46" s="49" t="s">
        <v>46</v>
      </c>
      <c r="U46" s="50"/>
      <c r="V46" s="38"/>
    </row>
    <row r="47" spans="1:22" x14ac:dyDescent="0.2">
      <c r="B47" s="34"/>
      <c r="C47" s="35"/>
      <c r="E47" s="36"/>
      <c r="H47" s="37"/>
      <c r="L47" s="38"/>
      <c r="O47" s="39"/>
      <c r="Q47" s="40"/>
      <c r="R47" s="51"/>
      <c r="S47" s="52">
        <v>6</v>
      </c>
      <c r="T47" s="53" t="s">
        <v>47</v>
      </c>
      <c r="U47" s="54"/>
      <c r="V47" s="38"/>
    </row>
    <row r="48" spans="1:22" x14ac:dyDescent="0.2">
      <c r="B48" s="34"/>
      <c r="C48" s="35"/>
      <c r="E48" s="36"/>
      <c r="H48" s="37"/>
      <c r="L48" s="38"/>
      <c r="O48" s="39"/>
      <c r="Q48" s="40"/>
      <c r="R48" s="41"/>
      <c r="U48" s="42"/>
      <c r="V48" s="38"/>
    </row>
    <row r="49" spans="2:22" x14ac:dyDescent="0.2">
      <c r="B49" s="34"/>
      <c r="C49" s="35"/>
      <c r="E49" s="36"/>
      <c r="H49" s="37"/>
      <c r="L49" s="38"/>
      <c r="O49" s="39"/>
      <c r="Q49" s="40"/>
      <c r="R49" s="41"/>
      <c r="U49" s="42"/>
      <c r="V49" s="38"/>
    </row>
    <row r="50" spans="2:22" x14ac:dyDescent="0.2">
      <c r="B50" s="34"/>
      <c r="C50" s="35"/>
      <c r="E50" s="36"/>
      <c r="H50" s="37"/>
      <c r="L50" s="38"/>
      <c r="O50" s="39"/>
      <c r="Q50" s="40"/>
      <c r="R50" s="41"/>
      <c r="U50" s="42"/>
      <c r="V50" s="38"/>
    </row>
    <row r="51" spans="2:22" x14ac:dyDescent="0.2">
      <c r="B51" s="34"/>
      <c r="C51" s="35"/>
      <c r="E51" s="36"/>
      <c r="H51" s="37"/>
      <c r="L51" s="38"/>
      <c r="O51" s="39"/>
      <c r="Q51" s="40"/>
      <c r="R51" s="41"/>
      <c r="U51" s="42"/>
      <c r="V51" s="38"/>
    </row>
    <row r="52" spans="2:22" x14ac:dyDescent="0.2">
      <c r="B52" s="34"/>
      <c r="C52" s="35"/>
      <c r="E52" s="36"/>
      <c r="H52" s="37"/>
      <c r="L52" s="38"/>
      <c r="O52" s="39"/>
      <c r="Q52" s="40"/>
      <c r="R52" s="41"/>
      <c r="U52" s="42"/>
      <c r="V52" s="38"/>
    </row>
    <row r="53" spans="2:22" x14ac:dyDescent="0.2">
      <c r="B53" s="34"/>
      <c r="C53" s="35"/>
      <c r="E53" s="36"/>
      <c r="H53" s="37"/>
      <c r="L53" s="38"/>
      <c r="O53" s="39"/>
      <c r="Q53" s="40"/>
      <c r="R53" s="41"/>
      <c r="U53" s="42"/>
      <c r="V53" s="38"/>
    </row>
    <row r="54" spans="2:22" x14ac:dyDescent="0.2">
      <c r="B54" s="34"/>
      <c r="C54" s="35"/>
      <c r="E54" s="36"/>
      <c r="H54" s="37"/>
      <c r="L54" s="38"/>
      <c r="O54" s="39"/>
      <c r="Q54" s="40"/>
      <c r="R54" s="41"/>
      <c r="U54" s="42"/>
      <c r="V54" s="38"/>
    </row>
    <row r="55" spans="2:22" x14ac:dyDescent="0.2">
      <c r="B55" s="34"/>
      <c r="C55" s="35"/>
      <c r="E55" s="36"/>
      <c r="H55" s="37"/>
      <c r="L55" s="38"/>
      <c r="O55" s="39"/>
      <c r="Q55" s="40"/>
      <c r="R55" s="41"/>
      <c r="U55" s="42"/>
      <c r="V55" s="38"/>
    </row>
    <row r="56" spans="2:22" x14ac:dyDescent="0.2">
      <c r="B56" s="34"/>
      <c r="C56" s="35"/>
      <c r="E56" s="36"/>
      <c r="H56" s="37"/>
      <c r="L56" s="38"/>
      <c r="O56" s="39"/>
      <c r="Q56" s="40"/>
      <c r="R56" s="41"/>
      <c r="U56" s="42"/>
      <c r="V56" s="38"/>
    </row>
    <row r="57" spans="2:22" x14ac:dyDescent="0.2">
      <c r="B57" s="34"/>
      <c r="C57" s="35"/>
      <c r="E57" s="36"/>
      <c r="H57" s="37"/>
      <c r="L57" s="38"/>
      <c r="O57" s="39"/>
      <c r="Q57" s="40"/>
      <c r="R57" s="41"/>
      <c r="U57" s="42"/>
      <c r="V57" s="38"/>
    </row>
    <row r="58" spans="2:22" x14ac:dyDescent="0.2">
      <c r="B58" s="34"/>
      <c r="C58" s="35"/>
      <c r="E58" s="36"/>
      <c r="H58" s="37"/>
      <c r="L58" s="38"/>
      <c r="O58" s="39"/>
      <c r="Q58" s="40"/>
      <c r="R58" s="41"/>
      <c r="U58" s="42"/>
      <c r="V58" s="38"/>
    </row>
    <row r="59" spans="2:22" x14ac:dyDescent="0.2">
      <c r="H59" s="37"/>
      <c r="R59" s="41"/>
      <c r="U59" s="42"/>
    </row>
    <row r="60" spans="2:22" x14ac:dyDescent="0.2">
      <c r="H60" s="37"/>
      <c r="R60" s="41"/>
      <c r="U60" s="42"/>
    </row>
    <row r="61" spans="2:22" x14ac:dyDescent="0.2">
      <c r="H61" s="37"/>
    </row>
    <row r="62" spans="2:22" x14ac:dyDescent="0.2">
      <c r="H62" s="37"/>
    </row>
    <row r="63" spans="2:22" x14ac:dyDescent="0.2">
      <c r="H63" s="37"/>
    </row>
    <row r="64" spans="2:22" x14ac:dyDescent="0.2">
      <c r="H64" s="37"/>
    </row>
    <row r="65" spans="8:8" x14ac:dyDescent="0.2">
      <c r="H65" s="37"/>
    </row>
    <row r="66" spans="8:8" x14ac:dyDescent="0.2">
      <c r="H66" s="37"/>
    </row>
    <row r="67" spans="8:8" x14ac:dyDescent="0.2">
      <c r="H67" s="37"/>
    </row>
    <row r="68" spans="8:8" x14ac:dyDescent="0.2">
      <c r="H68" s="37"/>
    </row>
    <row r="69" spans="8:8" x14ac:dyDescent="0.2">
      <c r="H69" s="37"/>
    </row>
    <row r="70" spans="8:8" x14ac:dyDescent="0.2">
      <c r="H70" s="37"/>
    </row>
    <row r="71" spans="8:8" x14ac:dyDescent="0.2">
      <c r="H71" s="37"/>
    </row>
    <row r="72" spans="8:8" x14ac:dyDescent="0.2">
      <c r="H72" s="37"/>
    </row>
    <row r="73" spans="8:8" x14ac:dyDescent="0.2">
      <c r="H73" s="37"/>
    </row>
    <row r="74" spans="8:8" x14ac:dyDescent="0.2">
      <c r="H74" s="37"/>
    </row>
    <row r="75" spans="8:8" x14ac:dyDescent="0.2">
      <c r="H75" s="37"/>
    </row>
    <row r="76" spans="8:8" x14ac:dyDescent="0.2">
      <c r="H76" s="37"/>
    </row>
    <row r="77" spans="8:8" x14ac:dyDescent="0.2">
      <c r="H77" s="37"/>
    </row>
    <row r="78" spans="8:8" x14ac:dyDescent="0.2">
      <c r="H78" s="37"/>
    </row>
    <row r="79" spans="8:8" x14ac:dyDescent="0.2">
      <c r="H79" s="37"/>
    </row>
    <row r="80" spans="8:8" x14ac:dyDescent="0.2">
      <c r="H80" s="37"/>
    </row>
    <row r="81" spans="8:8" x14ac:dyDescent="0.2">
      <c r="H81" s="37"/>
    </row>
    <row r="82" spans="8:8" x14ac:dyDescent="0.2">
      <c r="H82" s="37"/>
    </row>
    <row r="83" spans="8:8" x14ac:dyDescent="0.2">
      <c r="H83" s="37"/>
    </row>
    <row r="84" spans="8:8" x14ac:dyDescent="0.2">
      <c r="H84" s="37"/>
    </row>
    <row r="85" spans="8:8" x14ac:dyDescent="0.2">
      <c r="H85" s="37"/>
    </row>
    <row r="86" spans="8:8" x14ac:dyDescent="0.2">
      <c r="H86" s="37"/>
    </row>
    <row r="87" spans="8:8" x14ac:dyDescent="0.2">
      <c r="H87" s="37"/>
    </row>
    <row r="88" spans="8:8" x14ac:dyDescent="0.2">
      <c r="H88" s="37"/>
    </row>
    <row r="89" spans="8:8" x14ac:dyDescent="0.2">
      <c r="H89" s="37"/>
    </row>
    <row r="90" spans="8:8" x14ac:dyDescent="0.2">
      <c r="H90" s="37"/>
    </row>
    <row r="91" spans="8:8" x14ac:dyDescent="0.2">
      <c r="H91" s="37"/>
    </row>
    <row r="92" spans="8:8" x14ac:dyDescent="0.2">
      <c r="H92" s="37"/>
    </row>
    <row r="93" spans="8:8" x14ac:dyDescent="0.2">
      <c r="H93" s="37"/>
    </row>
    <row r="94" spans="8:8" x14ac:dyDescent="0.2">
      <c r="H94" s="37"/>
    </row>
    <row r="95" spans="8:8" x14ac:dyDescent="0.2">
      <c r="H95" s="37"/>
    </row>
    <row r="96" spans="8:8" x14ac:dyDescent="0.2">
      <c r="H96" s="37"/>
    </row>
    <row r="97" spans="8:8" x14ac:dyDescent="0.2">
      <c r="H97" s="37"/>
    </row>
    <row r="98" spans="8:8" x14ac:dyDescent="0.2">
      <c r="H98" s="37"/>
    </row>
    <row r="99" spans="8:8" x14ac:dyDescent="0.2">
      <c r="H99" s="37"/>
    </row>
    <row r="100" spans="8:8" x14ac:dyDescent="0.2">
      <c r="H100" s="37"/>
    </row>
    <row r="101" spans="8:8" x14ac:dyDescent="0.2">
      <c r="H101" s="37"/>
    </row>
    <row r="102" spans="8:8" x14ac:dyDescent="0.2">
      <c r="H102" s="37"/>
    </row>
    <row r="103" spans="8:8" x14ac:dyDescent="0.2">
      <c r="H103" s="37"/>
    </row>
    <row r="104" spans="8:8" x14ac:dyDescent="0.2">
      <c r="H104" s="37"/>
    </row>
    <row r="105" spans="8:8" x14ac:dyDescent="0.2">
      <c r="H105" s="37"/>
    </row>
    <row r="106" spans="8:8" x14ac:dyDescent="0.2">
      <c r="H106" s="37"/>
    </row>
    <row r="107" spans="8:8" x14ac:dyDescent="0.2">
      <c r="H107" s="37"/>
    </row>
    <row r="108" spans="8:8" x14ac:dyDescent="0.2">
      <c r="H108" s="37"/>
    </row>
    <row r="109" spans="8:8" x14ac:dyDescent="0.2">
      <c r="H109" s="37"/>
    </row>
    <row r="110" spans="8:8" x14ac:dyDescent="0.2">
      <c r="H110" s="37"/>
    </row>
    <row r="111" spans="8:8" x14ac:dyDescent="0.2">
      <c r="H111" s="37"/>
    </row>
    <row r="112" spans="8:8" x14ac:dyDescent="0.2">
      <c r="H112" s="37"/>
    </row>
    <row r="113" spans="8:8" x14ac:dyDescent="0.2">
      <c r="H113" s="37"/>
    </row>
    <row r="114" spans="8:8" x14ac:dyDescent="0.2">
      <c r="H114" s="37"/>
    </row>
    <row r="115" spans="8:8" x14ac:dyDescent="0.2">
      <c r="H115" s="37"/>
    </row>
    <row r="116" spans="8:8" x14ac:dyDescent="0.2">
      <c r="H116" s="37"/>
    </row>
    <row r="117" spans="8:8" x14ac:dyDescent="0.2">
      <c r="H117" s="37"/>
    </row>
    <row r="118" spans="8:8" x14ac:dyDescent="0.2">
      <c r="H118" s="37"/>
    </row>
    <row r="119" spans="8:8" x14ac:dyDescent="0.2">
      <c r="H119" s="37"/>
    </row>
    <row r="120" spans="8:8" x14ac:dyDescent="0.2">
      <c r="H120" s="37"/>
    </row>
    <row r="121" spans="8:8" x14ac:dyDescent="0.2">
      <c r="H121" s="37"/>
    </row>
    <row r="122" spans="8:8" x14ac:dyDescent="0.2">
      <c r="H122" s="37"/>
    </row>
    <row r="123" spans="8:8" x14ac:dyDescent="0.2">
      <c r="H123" s="37"/>
    </row>
    <row r="124" spans="8:8" x14ac:dyDescent="0.2">
      <c r="H124" s="37"/>
    </row>
    <row r="125" spans="8:8" x14ac:dyDescent="0.2">
      <c r="H125" s="37"/>
    </row>
    <row r="126" spans="8:8" x14ac:dyDescent="0.2">
      <c r="H126" s="37"/>
    </row>
    <row r="127" spans="8:8" x14ac:dyDescent="0.2">
      <c r="H127" s="37"/>
    </row>
    <row r="128" spans="8:8" x14ac:dyDescent="0.2">
      <c r="H128" s="37"/>
    </row>
    <row r="129" spans="8:8" x14ac:dyDescent="0.2">
      <c r="H129" s="37"/>
    </row>
    <row r="130" spans="8:8" x14ac:dyDescent="0.2">
      <c r="H130" s="37"/>
    </row>
    <row r="131" spans="8:8" x14ac:dyDescent="0.2">
      <c r="H131" s="37"/>
    </row>
    <row r="132" spans="8:8" x14ac:dyDescent="0.2">
      <c r="H132" s="37"/>
    </row>
    <row r="133" spans="8:8" x14ac:dyDescent="0.2">
      <c r="H133" s="37"/>
    </row>
    <row r="134" spans="8:8" x14ac:dyDescent="0.2">
      <c r="H134" s="37"/>
    </row>
    <row r="135" spans="8:8" x14ac:dyDescent="0.2">
      <c r="H135" s="37"/>
    </row>
    <row r="136" spans="8:8" x14ac:dyDescent="0.2">
      <c r="H136" s="37"/>
    </row>
    <row r="137" spans="8:8" x14ac:dyDescent="0.2">
      <c r="H137" s="37"/>
    </row>
    <row r="138" spans="8:8" x14ac:dyDescent="0.2">
      <c r="H138" s="37"/>
    </row>
    <row r="139" spans="8:8" x14ac:dyDescent="0.2">
      <c r="H139" s="37"/>
    </row>
    <row r="140" spans="8:8" x14ac:dyDescent="0.2">
      <c r="H140" s="37"/>
    </row>
    <row r="141" spans="8:8" x14ac:dyDescent="0.2">
      <c r="H141" s="37"/>
    </row>
    <row r="142" spans="8:8" x14ac:dyDescent="0.2">
      <c r="H142" s="37"/>
    </row>
    <row r="143" spans="8:8" x14ac:dyDescent="0.2">
      <c r="H143" s="37"/>
    </row>
    <row r="144" spans="8:8" x14ac:dyDescent="0.2">
      <c r="H144" s="37"/>
    </row>
    <row r="145" spans="8:8" x14ac:dyDescent="0.2">
      <c r="H145" s="37"/>
    </row>
    <row r="146" spans="8:8" x14ac:dyDescent="0.2">
      <c r="H146" s="37"/>
    </row>
    <row r="147" spans="8:8" x14ac:dyDescent="0.2">
      <c r="H147" s="37"/>
    </row>
    <row r="148" spans="8:8" x14ac:dyDescent="0.2">
      <c r="H148" s="37"/>
    </row>
    <row r="149" spans="8:8" x14ac:dyDescent="0.2">
      <c r="H149" s="37"/>
    </row>
    <row r="150" spans="8:8" x14ac:dyDescent="0.2">
      <c r="H150" s="37"/>
    </row>
    <row r="151" spans="8:8" x14ac:dyDescent="0.2">
      <c r="H151" s="37"/>
    </row>
    <row r="152" spans="8:8" x14ac:dyDescent="0.2">
      <c r="H152" s="37"/>
    </row>
    <row r="153" spans="8:8" x14ac:dyDescent="0.2">
      <c r="H153" s="37"/>
    </row>
    <row r="154" spans="8:8" x14ac:dyDescent="0.2">
      <c r="H154" s="37"/>
    </row>
    <row r="155" spans="8:8" x14ac:dyDescent="0.2">
      <c r="H155" s="37"/>
    </row>
    <row r="156" spans="8:8" x14ac:dyDescent="0.2">
      <c r="H156" s="37"/>
    </row>
    <row r="157" spans="8:8" x14ac:dyDescent="0.2">
      <c r="H157" s="37"/>
    </row>
    <row r="158" spans="8:8" x14ac:dyDescent="0.2">
      <c r="H158" s="37"/>
    </row>
    <row r="159" spans="8:8" x14ac:dyDescent="0.2">
      <c r="H159" s="37"/>
    </row>
    <row r="160" spans="8:8" x14ac:dyDescent="0.2">
      <c r="H160" s="37"/>
    </row>
    <row r="161" spans="8:8" x14ac:dyDescent="0.2">
      <c r="H161" s="37"/>
    </row>
    <row r="162" spans="8:8" x14ac:dyDescent="0.2">
      <c r="H162" s="37"/>
    </row>
    <row r="163" spans="8:8" x14ac:dyDescent="0.2">
      <c r="H163" s="37"/>
    </row>
    <row r="164" spans="8:8" x14ac:dyDescent="0.2">
      <c r="H164" s="37"/>
    </row>
    <row r="165" spans="8:8" x14ac:dyDescent="0.2">
      <c r="H165" s="37"/>
    </row>
    <row r="166" spans="8:8" x14ac:dyDescent="0.2">
      <c r="H166" s="37"/>
    </row>
    <row r="167" spans="8:8" x14ac:dyDescent="0.2">
      <c r="H167" s="37"/>
    </row>
    <row r="168" spans="8:8" x14ac:dyDescent="0.2">
      <c r="H168" s="37"/>
    </row>
    <row r="169" spans="8:8" x14ac:dyDescent="0.2">
      <c r="H169" s="37"/>
    </row>
    <row r="170" spans="8:8" x14ac:dyDescent="0.2">
      <c r="H170" s="37"/>
    </row>
    <row r="171" spans="8:8" x14ac:dyDescent="0.2">
      <c r="H171" s="37"/>
    </row>
    <row r="172" spans="8:8" x14ac:dyDescent="0.2">
      <c r="H172" s="37"/>
    </row>
    <row r="173" spans="8:8" x14ac:dyDescent="0.2">
      <c r="H173" s="37"/>
    </row>
    <row r="174" spans="8:8" x14ac:dyDescent="0.2">
      <c r="H174" s="37"/>
    </row>
    <row r="175" spans="8:8" x14ac:dyDescent="0.2">
      <c r="H175" s="37"/>
    </row>
    <row r="176" spans="8:8" x14ac:dyDescent="0.2">
      <c r="H176" s="37"/>
    </row>
    <row r="177" spans="8:8" x14ac:dyDescent="0.2">
      <c r="H177" s="37"/>
    </row>
    <row r="178" spans="8:8" x14ac:dyDescent="0.2">
      <c r="H178" s="37"/>
    </row>
    <row r="179" spans="8:8" x14ac:dyDescent="0.2">
      <c r="H179" s="37"/>
    </row>
    <row r="180" spans="8:8" x14ac:dyDescent="0.2">
      <c r="H180" s="37"/>
    </row>
    <row r="181" spans="8:8" x14ac:dyDescent="0.2">
      <c r="H181" s="37"/>
    </row>
    <row r="182" spans="8:8" x14ac:dyDescent="0.2">
      <c r="H182" s="37"/>
    </row>
    <row r="183" spans="8:8" x14ac:dyDescent="0.2">
      <c r="H183" s="37"/>
    </row>
    <row r="184" spans="8:8" x14ac:dyDescent="0.2">
      <c r="H184" s="37"/>
    </row>
    <row r="185" spans="8:8" x14ac:dyDescent="0.2">
      <c r="H185" s="37"/>
    </row>
    <row r="186" spans="8:8" x14ac:dyDescent="0.2">
      <c r="H186" s="37"/>
    </row>
    <row r="187" spans="8:8" x14ac:dyDescent="0.2">
      <c r="H187" s="37"/>
    </row>
    <row r="188" spans="8:8" x14ac:dyDescent="0.2">
      <c r="H188" s="37"/>
    </row>
    <row r="189" spans="8:8" x14ac:dyDescent="0.2">
      <c r="H189" s="37"/>
    </row>
    <row r="190" spans="8:8" x14ac:dyDescent="0.2">
      <c r="H190" s="37"/>
    </row>
    <row r="191" spans="8:8" x14ac:dyDescent="0.2">
      <c r="H191" s="37"/>
    </row>
    <row r="192" spans="8:8" x14ac:dyDescent="0.2">
      <c r="H192" s="37"/>
    </row>
    <row r="193" spans="8:8" x14ac:dyDescent="0.2">
      <c r="H193" s="37"/>
    </row>
    <row r="194" spans="8:8" x14ac:dyDescent="0.2">
      <c r="H194" s="37"/>
    </row>
    <row r="195" spans="8:8" x14ac:dyDescent="0.2">
      <c r="H195" s="37"/>
    </row>
    <row r="196" spans="8:8" x14ac:dyDescent="0.2">
      <c r="H196" s="37"/>
    </row>
    <row r="197" spans="8:8" x14ac:dyDescent="0.2">
      <c r="H197" s="37"/>
    </row>
    <row r="198" spans="8:8" x14ac:dyDescent="0.2">
      <c r="H198" s="37"/>
    </row>
    <row r="199" spans="8:8" x14ac:dyDescent="0.2">
      <c r="H199" s="37"/>
    </row>
    <row r="200" spans="8:8" x14ac:dyDescent="0.2">
      <c r="H200" s="37"/>
    </row>
    <row r="201" spans="8:8" x14ac:dyDescent="0.2">
      <c r="H201" s="37"/>
    </row>
    <row r="202" spans="8:8" x14ac:dyDescent="0.2">
      <c r="H202" s="37"/>
    </row>
    <row r="203" spans="8:8" x14ac:dyDescent="0.2">
      <c r="H203" s="37"/>
    </row>
    <row r="204" spans="8:8" x14ac:dyDescent="0.2">
      <c r="H204" s="37"/>
    </row>
    <row r="205" spans="8:8" x14ac:dyDescent="0.2">
      <c r="H205" s="37"/>
    </row>
    <row r="206" spans="8:8" x14ac:dyDescent="0.2">
      <c r="H206" s="37"/>
    </row>
    <row r="207" spans="8:8" x14ac:dyDescent="0.2">
      <c r="H207" s="37"/>
    </row>
    <row r="208" spans="8:8" x14ac:dyDescent="0.2">
      <c r="H208" s="37"/>
    </row>
    <row r="209" spans="8:8" x14ac:dyDescent="0.2">
      <c r="H209" s="37"/>
    </row>
    <row r="210" spans="8:8" x14ac:dyDescent="0.2">
      <c r="H210" s="37"/>
    </row>
    <row r="211" spans="8:8" x14ac:dyDescent="0.2">
      <c r="H211" s="37"/>
    </row>
    <row r="212" spans="8:8" x14ac:dyDescent="0.2">
      <c r="H212" s="37"/>
    </row>
    <row r="213" spans="8:8" x14ac:dyDescent="0.2">
      <c r="H213" s="37"/>
    </row>
    <row r="214" spans="8:8" x14ac:dyDescent="0.2">
      <c r="H214" s="37"/>
    </row>
    <row r="215" spans="8:8" x14ac:dyDescent="0.2">
      <c r="H215" s="37"/>
    </row>
    <row r="216" spans="8:8" x14ac:dyDescent="0.2">
      <c r="H216" s="37"/>
    </row>
    <row r="217" spans="8:8" x14ac:dyDescent="0.2">
      <c r="H217" s="37"/>
    </row>
    <row r="218" spans="8:8" x14ac:dyDescent="0.2">
      <c r="H218" s="37"/>
    </row>
    <row r="219" spans="8:8" x14ac:dyDescent="0.2">
      <c r="H219" s="37"/>
    </row>
    <row r="220" spans="8:8" x14ac:dyDescent="0.2">
      <c r="H220" s="37"/>
    </row>
    <row r="221" spans="8:8" x14ac:dyDescent="0.2">
      <c r="H221" s="37"/>
    </row>
    <row r="222" spans="8:8" x14ac:dyDescent="0.2">
      <c r="H222" s="37"/>
    </row>
    <row r="223" spans="8:8" x14ac:dyDescent="0.2">
      <c r="H223" s="37"/>
    </row>
    <row r="224" spans="8:8" x14ac:dyDescent="0.2">
      <c r="H224" s="37"/>
    </row>
    <row r="225" spans="8:8" x14ac:dyDescent="0.2">
      <c r="H225" s="37"/>
    </row>
    <row r="226" spans="8:8" x14ac:dyDescent="0.2">
      <c r="H226" s="37"/>
    </row>
    <row r="227" spans="8:8" x14ac:dyDescent="0.2">
      <c r="H227" s="37"/>
    </row>
    <row r="228" spans="8:8" x14ac:dyDescent="0.2">
      <c r="H228" s="37"/>
    </row>
    <row r="229" spans="8:8" x14ac:dyDescent="0.2">
      <c r="H229" s="37"/>
    </row>
    <row r="230" spans="8:8" x14ac:dyDescent="0.2">
      <c r="H230" s="37"/>
    </row>
    <row r="231" spans="8:8" x14ac:dyDescent="0.2">
      <c r="H231" s="37"/>
    </row>
    <row r="232" spans="8:8" x14ac:dyDescent="0.2">
      <c r="H232" s="37"/>
    </row>
    <row r="233" spans="8:8" x14ac:dyDescent="0.2">
      <c r="H233" s="37"/>
    </row>
    <row r="234" spans="8:8" x14ac:dyDescent="0.2">
      <c r="H234" s="37"/>
    </row>
    <row r="235" spans="8:8" x14ac:dyDescent="0.2">
      <c r="H235" s="37"/>
    </row>
    <row r="236" spans="8:8" x14ac:dyDescent="0.2">
      <c r="H236" s="37"/>
    </row>
    <row r="237" spans="8:8" x14ac:dyDescent="0.2">
      <c r="H237" s="37"/>
    </row>
    <row r="238" spans="8:8" x14ac:dyDescent="0.2">
      <c r="H238" s="37"/>
    </row>
    <row r="239" spans="8:8" x14ac:dyDescent="0.2">
      <c r="H239" s="37"/>
    </row>
    <row r="240" spans="8:8" x14ac:dyDescent="0.2">
      <c r="H240" s="37"/>
    </row>
    <row r="241" spans="8:8" x14ac:dyDescent="0.2">
      <c r="H241" s="37"/>
    </row>
    <row r="242" spans="8:8" x14ac:dyDescent="0.2">
      <c r="H242" s="37"/>
    </row>
    <row r="243" spans="8:8" x14ac:dyDescent="0.2">
      <c r="H243" s="37"/>
    </row>
    <row r="244" spans="8:8" x14ac:dyDescent="0.2">
      <c r="H244" s="37"/>
    </row>
    <row r="245" spans="8:8" x14ac:dyDescent="0.2">
      <c r="H245" s="37"/>
    </row>
    <row r="246" spans="8:8" x14ac:dyDescent="0.2">
      <c r="H246" s="37"/>
    </row>
    <row r="247" spans="8:8" x14ac:dyDescent="0.2">
      <c r="H247" s="37"/>
    </row>
    <row r="248" spans="8:8" x14ac:dyDescent="0.2">
      <c r="H248" s="37"/>
    </row>
    <row r="249" spans="8:8" x14ac:dyDescent="0.2">
      <c r="H249" s="37"/>
    </row>
    <row r="250" spans="8:8" x14ac:dyDescent="0.2">
      <c r="H250" s="37"/>
    </row>
    <row r="251" spans="8:8" x14ac:dyDescent="0.2">
      <c r="H251" s="37"/>
    </row>
    <row r="252" spans="8:8" x14ac:dyDescent="0.2">
      <c r="H252" s="37"/>
    </row>
    <row r="253" spans="8:8" x14ac:dyDescent="0.2">
      <c r="H253" s="37"/>
    </row>
    <row r="254" spans="8:8" x14ac:dyDescent="0.2">
      <c r="H254" s="37"/>
    </row>
    <row r="255" spans="8:8" x14ac:dyDescent="0.2">
      <c r="H255" s="37"/>
    </row>
    <row r="256" spans="8:8" x14ac:dyDescent="0.2">
      <c r="H256" s="37"/>
    </row>
    <row r="257" spans="8:8" x14ac:dyDescent="0.2">
      <c r="H257" s="37"/>
    </row>
    <row r="258" spans="8:8" x14ac:dyDescent="0.2">
      <c r="H258" s="37"/>
    </row>
    <row r="259" spans="8:8" x14ac:dyDescent="0.2">
      <c r="H259" s="37"/>
    </row>
    <row r="260" spans="8:8" x14ac:dyDescent="0.2">
      <c r="H260" s="37"/>
    </row>
    <row r="261" spans="8:8" x14ac:dyDescent="0.2">
      <c r="H261" s="37"/>
    </row>
    <row r="262" spans="8:8" x14ac:dyDescent="0.2">
      <c r="H262" s="37"/>
    </row>
    <row r="263" spans="8:8" x14ac:dyDescent="0.2">
      <c r="H263" s="37"/>
    </row>
    <row r="264" spans="8:8" x14ac:dyDescent="0.2">
      <c r="H264" s="37"/>
    </row>
    <row r="265" spans="8:8" x14ac:dyDescent="0.2">
      <c r="H265" s="37"/>
    </row>
    <row r="266" spans="8:8" x14ac:dyDescent="0.2">
      <c r="H266" s="37"/>
    </row>
    <row r="267" spans="8:8" x14ac:dyDescent="0.2">
      <c r="H267" s="37"/>
    </row>
  </sheetData>
  <pageMargins left="0.75" right="0.75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"/>
  <sheetViews>
    <sheetView workbookViewId="0">
      <selection activeCell="C31" sqref="C31"/>
    </sheetView>
  </sheetViews>
  <sheetFormatPr defaultRowHeight="12.75" x14ac:dyDescent="0.2"/>
  <cols>
    <col min="1" max="1" width="9.140625" style="72"/>
    <col min="2" max="2" width="16.28515625" bestFit="1" customWidth="1"/>
    <col min="3" max="3" width="16.140625" bestFit="1" customWidth="1"/>
    <col min="4" max="4" width="12.85546875" bestFit="1" customWidth="1"/>
    <col min="5" max="5" width="16.5703125" bestFit="1" customWidth="1"/>
    <col min="9" max="9" width="15.28515625" customWidth="1"/>
  </cols>
  <sheetData>
    <row r="1" spans="1:9" s="72" customFormat="1" x14ac:dyDescent="0.2">
      <c r="B1" s="72" t="s">
        <v>75</v>
      </c>
      <c r="C1" s="72" t="s">
        <v>76</v>
      </c>
      <c r="D1" s="72" t="s">
        <v>77</v>
      </c>
      <c r="E1" s="72" t="s">
        <v>31</v>
      </c>
      <c r="G1" s="72" t="s">
        <v>63</v>
      </c>
      <c r="I1" s="72" t="s">
        <v>105</v>
      </c>
    </row>
    <row r="2" spans="1:9" x14ac:dyDescent="0.2">
      <c r="A2" s="98">
        <v>36647</v>
      </c>
      <c r="B2" s="100">
        <v>-5.0000000000000001E-3</v>
      </c>
      <c r="C2" s="100">
        <v>-5.0000000000000001E-3</v>
      </c>
      <c r="D2" s="100">
        <v>-2.5000000000000001E-2</v>
      </c>
      <c r="E2" s="100">
        <v>-5.0000000000000001E-3</v>
      </c>
    </row>
    <row r="3" spans="1:9" x14ac:dyDescent="0.2">
      <c r="A3" s="98">
        <v>36678</v>
      </c>
      <c r="B3" s="100">
        <v>-5.0000000000000001E-3</v>
      </c>
      <c r="C3" s="100">
        <v>-5.0000000000000001E-3</v>
      </c>
      <c r="D3" s="100">
        <v>-0.02</v>
      </c>
      <c r="E3" s="100">
        <v>-5.0000000000000001E-3</v>
      </c>
    </row>
    <row r="4" spans="1:9" x14ac:dyDescent="0.2">
      <c r="A4" s="98">
        <v>36708</v>
      </c>
      <c r="B4" s="100">
        <v>0</v>
      </c>
      <c r="C4" s="100">
        <v>0</v>
      </c>
      <c r="D4" s="100">
        <v>-1.7500000000000002E-2</v>
      </c>
      <c r="E4" s="100">
        <v>-5.0000000000000001E-3</v>
      </c>
    </row>
    <row r="5" spans="1:9" x14ac:dyDescent="0.2">
      <c r="A5" s="98">
        <v>36739</v>
      </c>
      <c r="B5" s="100">
        <v>0</v>
      </c>
      <c r="C5" s="100">
        <v>0</v>
      </c>
      <c r="D5" s="100">
        <v>-1.7500000000000002E-2</v>
      </c>
      <c r="E5" s="100">
        <v>-5.0000000000000001E-3</v>
      </c>
    </row>
    <row r="6" spans="1:9" x14ac:dyDescent="0.2">
      <c r="A6" s="98">
        <v>36770</v>
      </c>
      <c r="B6" s="100">
        <v>0</v>
      </c>
      <c r="C6" s="100">
        <v>0</v>
      </c>
      <c r="D6" s="100">
        <v>-0.02</v>
      </c>
      <c r="E6" s="100">
        <v>-5.0000000000000001E-3</v>
      </c>
    </row>
    <row r="7" spans="1:9" x14ac:dyDescent="0.2">
      <c r="A7" s="98">
        <v>36800</v>
      </c>
      <c r="B7" s="100">
        <v>-5.0000000000000001E-3</v>
      </c>
      <c r="C7" s="100">
        <v>-5.0000000000000001E-3</v>
      </c>
      <c r="D7" s="100">
        <v>-2.5000000000000001E-2</v>
      </c>
      <c r="E7" s="100">
        <v>-5.0000000000000001E-3</v>
      </c>
    </row>
    <row r="8" spans="1:9" x14ac:dyDescent="0.2">
      <c r="A8" s="98">
        <v>36831</v>
      </c>
      <c r="B8" s="100">
        <v>-5.0000000000000001E-3</v>
      </c>
      <c r="C8" s="100">
        <v>-5.0000000000000001E-3</v>
      </c>
      <c r="D8" s="100">
        <v>-0.03</v>
      </c>
      <c r="E8" s="100">
        <v>-5.0000000000000001E-3</v>
      </c>
    </row>
    <row r="9" spans="1:9" x14ac:dyDescent="0.2">
      <c r="A9" s="98">
        <v>36861</v>
      </c>
      <c r="B9" s="100">
        <v>0</v>
      </c>
      <c r="C9" s="100">
        <v>0</v>
      </c>
      <c r="D9" s="100">
        <v>-3.5000000000000003E-2</v>
      </c>
      <c r="E9" s="100">
        <v>-5.0000000000000001E-3</v>
      </c>
    </row>
    <row r="10" spans="1:9" x14ac:dyDescent="0.2">
      <c r="A10" s="98">
        <v>36892</v>
      </c>
      <c r="B10" s="100">
        <v>0</v>
      </c>
      <c r="C10" s="100">
        <v>0</v>
      </c>
      <c r="D10" s="100">
        <v>-3.5000000000000003E-2</v>
      </c>
      <c r="E10" s="100">
        <v>-5.0000000000000001E-3</v>
      </c>
    </row>
    <row r="11" spans="1:9" x14ac:dyDescent="0.2">
      <c r="A11" s="98">
        <v>36923</v>
      </c>
      <c r="B11" s="100">
        <v>0</v>
      </c>
      <c r="C11" s="100">
        <v>0</v>
      </c>
      <c r="D11" s="100">
        <v>-3.5000000000000003E-2</v>
      </c>
      <c r="E11" s="100">
        <v>-5.0000000000000001E-3</v>
      </c>
    </row>
    <row r="12" spans="1:9" x14ac:dyDescent="0.2">
      <c r="A12" s="98">
        <v>36951</v>
      </c>
      <c r="B12" s="100">
        <v>0</v>
      </c>
      <c r="C12" s="100">
        <v>0</v>
      </c>
      <c r="D12" s="100">
        <v>-3.5000000000000003E-2</v>
      </c>
      <c r="E12" s="100">
        <v>-5.0000000000000001E-3</v>
      </c>
    </row>
    <row r="13" spans="1:9" x14ac:dyDescent="0.2">
      <c r="A13" s="98">
        <v>36982</v>
      </c>
      <c r="B13" s="100">
        <v>-5.0000000000000001E-3</v>
      </c>
      <c r="C13" s="100">
        <v>-5.0000000000000001E-3</v>
      </c>
      <c r="D13" s="100">
        <v>-0.03</v>
      </c>
      <c r="E13" s="100">
        <v>-5.0000000000000001E-3</v>
      </c>
    </row>
    <row r="14" spans="1:9" x14ac:dyDescent="0.2">
      <c r="A14" s="98">
        <v>37012</v>
      </c>
      <c r="B14" s="100">
        <v>-5.0000000000000001E-3</v>
      </c>
      <c r="C14" s="100">
        <v>-5.0000000000000001E-3</v>
      </c>
      <c r="D14" s="100">
        <v>-2.5000000000000001E-2</v>
      </c>
      <c r="E14" s="100">
        <v>-5.0000000000000001E-3</v>
      </c>
    </row>
    <row r="15" spans="1:9" x14ac:dyDescent="0.2">
      <c r="A15" s="98">
        <v>37043</v>
      </c>
      <c r="B15" s="100">
        <v>-5.0000000000000001E-3</v>
      </c>
      <c r="C15" s="100">
        <v>-5.0000000000000001E-3</v>
      </c>
      <c r="D15" s="100">
        <v>-0.02</v>
      </c>
      <c r="E15" s="100">
        <v>-5.0000000000000001E-3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29"/>
  <sheetViews>
    <sheetView workbookViewId="0">
      <selection activeCell="E5" sqref="E4:E5"/>
    </sheetView>
  </sheetViews>
  <sheetFormatPr defaultRowHeight="12.75" x14ac:dyDescent="0.2"/>
  <cols>
    <col min="1" max="1" width="13" bestFit="1" customWidth="1"/>
    <col min="2" max="2" width="13" customWidth="1"/>
    <col min="3" max="3" width="9.85546875" customWidth="1"/>
    <col min="4" max="4" width="11.85546875" customWidth="1"/>
    <col min="5" max="5" width="22" bestFit="1" customWidth="1"/>
  </cols>
  <sheetData>
    <row r="2" spans="1:5" s="70" customFormat="1" x14ac:dyDescent="0.2">
      <c r="A2" s="70" t="s">
        <v>49</v>
      </c>
      <c r="B2" s="70" t="s">
        <v>54</v>
      </c>
      <c r="C2" s="70" t="s">
        <v>50</v>
      </c>
      <c r="D2" s="70" t="s">
        <v>51</v>
      </c>
      <c r="E2" s="70" t="s">
        <v>52</v>
      </c>
    </row>
    <row r="3" spans="1:5" s="70" customFormat="1" x14ac:dyDescent="0.2"/>
    <row r="4" spans="1:5" s="69" customFormat="1" x14ac:dyDescent="0.2">
      <c r="A4" s="69" t="s">
        <v>48</v>
      </c>
      <c r="B4" s="69">
        <v>1412</v>
      </c>
      <c r="C4" s="69">
        <v>6</v>
      </c>
      <c r="D4" s="69" t="s">
        <v>58</v>
      </c>
      <c r="E4" s="69" t="s">
        <v>60</v>
      </c>
    </row>
    <row r="5" spans="1:5" s="69" customFormat="1" x14ac:dyDescent="0.2">
      <c r="A5" s="69" t="s">
        <v>53</v>
      </c>
      <c r="B5" s="69">
        <v>1401</v>
      </c>
      <c r="C5" s="69">
        <v>4</v>
      </c>
      <c r="D5" s="69" t="s">
        <v>59</v>
      </c>
      <c r="E5" s="69" t="s">
        <v>60</v>
      </c>
    </row>
    <row r="6" spans="1:5" s="69" customFormat="1" x14ac:dyDescent="0.2">
      <c r="A6" s="69" t="s">
        <v>55</v>
      </c>
      <c r="B6" s="69">
        <v>1480</v>
      </c>
      <c r="C6" s="69">
        <v>16</v>
      </c>
      <c r="D6" s="69" t="s">
        <v>61</v>
      </c>
      <c r="E6" s="69" t="s">
        <v>63</v>
      </c>
    </row>
    <row r="7" spans="1:5" s="69" customFormat="1" x14ac:dyDescent="0.2">
      <c r="A7" s="69" t="s">
        <v>56</v>
      </c>
      <c r="B7" s="69">
        <v>1393</v>
      </c>
      <c r="C7" s="69">
        <v>17</v>
      </c>
      <c r="D7" s="69" t="s">
        <v>62</v>
      </c>
      <c r="E7" s="69" t="s">
        <v>63</v>
      </c>
    </row>
    <row r="8" spans="1:5" s="69" customFormat="1" x14ac:dyDescent="0.2">
      <c r="A8" s="69" t="s">
        <v>57</v>
      </c>
      <c r="B8" s="69">
        <v>1396</v>
      </c>
      <c r="C8" s="69">
        <v>10</v>
      </c>
      <c r="D8" s="69" t="s">
        <v>64</v>
      </c>
      <c r="E8" s="69" t="s">
        <v>63</v>
      </c>
    </row>
    <row r="9" spans="1:5" s="69" customFormat="1" x14ac:dyDescent="0.2"/>
    <row r="16" spans="1:5" s="69" customFormat="1" x14ac:dyDescent="0.2">
      <c r="A16" s="78"/>
      <c r="B16" s="99"/>
    </row>
    <row r="17" spans="1:2" s="69" customFormat="1" x14ac:dyDescent="0.2">
      <c r="A17" s="78"/>
      <c r="B17" s="99"/>
    </row>
    <row r="18" spans="1:2" s="69" customFormat="1" x14ac:dyDescent="0.2">
      <c r="A18" s="78"/>
      <c r="B18" s="99"/>
    </row>
    <row r="19" spans="1:2" s="69" customFormat="1" x14ac:dyDescent="0.2">
      <c r="A19" s="78"/>
      <c r="B19" s="99"/>
    </row>
    <row r="20" spans="1:2" s="69" customFormat="1" x14ac:dyDescent="0.2">
      <c r="A20" s="78"/>
      <c r="B20" s="99"/>
    </row>
    <row r="21" spans="1:2" s="69" customFormat="1" x14ac:dyDescent="0.2">
      <c r="A21" s="78"/>
      <c r="B21" s="99"/>
    </row>
    <row r="22" spans="1:2" s="69" customFormat="1" x14ac:dyDescent="0.2">
      <c r="A22" s="78"/>
      <c r="B22" s="99"/>
    </row>
    <row r="23" spans="1:2" s="69" customFormat="1" x14ac:dyDescent="0.2">
      <c r="A23" s="78"/>
      <c r="B23" s="99"/>
    </row>
    <row r="24" spans="1:2" s="69" customFormat="1" x14ac:dyDescent="0.2">
      <c r="A24" s="78"/>
      <c r="B24" s="99"/>
    </row>
    <row r="25" spans="1:2" s="69" customFormat="1" x14ac:dyDescent="0.2">
      <c r="A25" s="78"/>
      <c r="B25" s="99"/>
    </row>
    <row r="26" spans="1:2" s="69" customFormat="1" x14ac:dyDescent="0.2">
      <c r="A26" s="78"/>
      <c r="B26" s="99"/>
    </row>
    <row r="27" spans="1:2" s="69" customFormat="1" x14ac:dyDescent="0.2">
      <c r="A27" s="78"/>
      <c r="B27" s="99"/>
    </row>
    <row r="28" spans="1:2" s="69" customFormat="1" x14ac:dyDescent="0.2">
      <c r="A28" s="78"/>
      <c r="B28" s="99"/>
    </row>
    <row r="29" spans="1:2" s="69" customFormat="1" x14ac:dyDescent="0.2">
      <c r="A29" s="78"/>
      <c r="B29" s="9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B23"/>
  <sheetViews>
    <sheetView tabSelected="1" zoomScale="75" workbookViewId="0">
      <selection activeCell="D19" sqref="D19"/>
    </sheetView>
  </sheetViews>
  <sheetFormatPr defaultRowHeight="12.75" x14ac:dyDescent="0.2"/>
  <cols>
    <col min="1" max="1" width="14" style="121" customWidth="1"/>
    <col min="2" max="2" width="11.28515625" style="121" customWidth="1"/>
    <col min="3" max="3" width="19" style="121" customWidth="1"/>
    <col min="4" max="4" width="14.5703125" style="121" bestFit="1" customWidth="1"/>
    <col min="5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1" width="14.5703125" style="121" customWidth="1"/>
    <col min="12" max="12" width="12.85546875" style="121" customWidth="1"/>
    <col min="13" max="13" width="13.7109375" style="121" customWidth="1"/>
    <col min="14" max="14" width="12.5703125" style="121" customWidth="1"/>
    <col min="15" max="15" width="18" style="121" bestFit="1" customWidth="1"/>
    <col min="16" max="16" width="14.5703125" style="121" customWidth="1"/>
    <col min="17" max="20" width="18" style="121" bestFit="1" customWidth="1"/>
    <col min="21" max="21" width="12.7109375" style="121" bestFit="1" customWidth="1"/>
    <col min="22" max="22" width="18" style="121" bestFit="1" customWidth="1"/>
    <col min="23" max="23" width="15.42578125" style="121" bestFit="1" customWidth="1"/>
    <col min="24" max="24" width="14.7109375" style="121" bestFit="1" customWidth="1"/>
    <col min="25" max="25" width="10.140625" style="121" bestFit="1" customWidth="1"/>
    <col min="26" max="26" width="10.42578125" style="121" customWidth="1"/>
    <col min="27" max="27" width="9.140625" style="121"/>
    <col min="28" max="28" width="10.85546875" style="121" customWidth="1"/>
    <col min="29" max="16384" width="9.140625" style="121"/>
  </cols>
  <sheetData>
    <row r="1" spans="1:28" x14ac:dyDescent="0.2">
      <c r="A1" s="150" t="s">
        <v>89</v>
      </c>
      <c r="B1" s="151">
        <f ca="1">TODAY()</f>
        <v>36573</v>
      </c>
      <c r="E1" s="127" t="s">
        <v>83</v>
      </c>
      <c r="F1" s="153">
        <v>0</v>
      </c>
      <c r="G1" s="152" t="s">
        <v>4</v>
      </c>
      <c r="H1" s="153">
        <v>4.5223874313451783E-2</v>
      </c>
      <c r="R1" s="166" t="s">
        <v>95</v>
      </c>
      <c r="S1" s="171">
        <v>0.04</v>
      </c>
      <c r="T1" s="171">
        <v>3.3000000000000002E-2</v>
      </c>
    </row>
    <row r="2" spans="1:28" x14ac:dyDescent="0.2">
      <c r="E2" s="127" t="s">
        <v>84</v>
      </c>
      <c r="F2" s="153">
        <v>-5.0000000000000001E-3</v>
      </c>
      <c r="G2" s="126"/>
    </row>
    <row r="3" spans="1:28" x14ac:dyDescent="0.2">
      <c r="F3" s="122"/>
      <c r="G3" s="122"/>
      <c r="H3" s="122"/>
      <c r="I3" s="122"/>
      <c r="J3" s="126"/>
      <c r="K3" s="126"/>
      <c r="N3" s="242">
        <f>+H1-F1</f>
        <v>4.5223874313451783E-2</v>
      </c>
    </row>
    <row r="4" spans="1:28" s="231" customFormat="1" x14ac:dyDescent="0.2">
      <c r="A4" s="232"/>
      <c r="B4" s="233"/>
      <c r="C4" s="233"/>
      <c r="D4" s="245" t="s">
        <v>87</v>
      </c>
      <c r="E4" s="245"/>
      <c r="F4" s="245"/>
      <c r="G4" s="245"/>
      <c r="H4" s="245"/>
      <c r="I4" s="245" t="s">
        <v>88</v>
      </c>
      <c r="J4" s="245"/>
      <c r="K4" s="245"/>
      <c r="L4" s="245" t="s">
        <v>85</v>
      </c>
      <c r="M4" s="245"/>
      <c r="N4" s="233"/>
      <c r="O4" s="245" t="s">
        <v>117</v>
      </c>
      <c r="P4" s="245"/>
      <c r="Q4" s="245"/>
      <c r="R4" s="245" t="s">
        <v>118</v>
      </c>
      <c r="S4" s="245"/>
      <c r="T4" s="179" t="s">
        <v>119</v>
      </c>
      <c r="U4" s="234"/>
      <c r="V4" s="236"/>
      <c r="X4" s="246" t="s">
        <v>102</v>
      </c>
      <c r="Y4" s="247"/>
      <c r="Z4" s="247"/>
      <c r="AA4" s="248"/>
    </row>
    <row r="5" spans="1:28" s="230" customFormat="1" ht="25.5" x14ac:dyDescent="0.2">
      <c r="A5" s="177" t="s">
        <v>5</v>
      </c>
      <c r="B5" s="178" t="s">
        <v>39</v>
      </c>
      <c r="C5" s="178" t="s">
        <v>0</v>
      </c>
      <c r="D5" s="178" t="s">
        <v>121</v>
      </c>
      <c r="E5" s="178" t="s">
        <v>63</v>
      </c>
      <c r="F5" s="178" t="s">
        <v>90</v>
      </c>
      <c r="G5" s="178" t="s">
        <v>63</v>
      </c>
      <c r="H5" s="178" t="s">
        <v>86</v>
      </c>
      <c r="I5" s="178" t="str">
        <f>+F5</f>
        <v>IF-A/S EAST OFFER</v>
      </c>
      <c r="J5" s="178" t="str">
        <f>+G5</f>
        <v>HSC</v>
      </c>
      <c r="K5" s="178" t="s">
        <v>86</v>
      </c>
      <c r="L5" s="178" t="str">
        <f>+F5</f>
        <v>IF-A/S EAST OFFER</v>
      </c>
      <c r="M5" s="178" t="str">
        <f>+G5</f>
        <v>HSC</v>
      </c>
      <c r="N5" s="178" t="s">
        <v>98</v>
      </c>
      <c r="O5" s="178" t="str">
        <f>+F5</f>
        <v>IF-A/S EAST OFFER</v>
      </c>
      <c r="P5" s="178" t="str">
        <f>+G5</f>
        <v>HSC</v>
      </c>
      <c r="Q5" s="178" t="s">
        <v>86</v>
      </c>
      <c r="R5" s="178" t="s">
        <v>93</v>
      </c>
      <c r="S5" s="178" t="s">
        <v>94</v>
      </c>
      <c r="T5" s="178" t="s">
        <v>94</v>
      </c>
      <c r="U5" s="235" t="s">
        <v>97</v>
      </c>
      <c r="V5" s="181" t="s">
        <v>99</v>
      </c>
      <c r="X5" s="184" t="s">
        <v>100</v>
      </c>
      <c r="Y5" s="185" t="s">
        <v>92</v>
      </c>
      <c r="Z5" s="185" t="s">
        <v>96</v>
      </c>
      <c r="AA5" s="186" t="s">
        <v>101</v>
      </c>
    </row>
    <row r="6" spans="1:28" x14ac:dyDescent="0.2">
      <c r="A6" s="124"/>
      <c r="B6" s="124"/>
      <c r="N6" s="146"/>
      <c r="R6" s="160"/>
      <c r="X6" s="228">
        <f ca="1">+$AA$6-SUM($Y$6:Z6)</f>
        <v>-6.0572766508690257E-4</v>
      </c>
      <c r="Y6" s="229">
        <f ca="1">+$S$13/$K$13</f>
        <v>1.2829601978538682E-2</v>
      </c>
      <c r="Z6" s="229">
        <f>+$T$1</f>
        <v>3.3000000000000002E-2</v>
      </c>
      <c r="AA6" s="212">
        <f>+$H$1</f>
        <v>4.5223874313451783E-2</v>
      </c>
    </row>
    <row r="7" spans="1:28" s="124" customFormat="1" ht="15" x14ac:dyDescent="0.2">
      <c r="A7" s="125">
        <v>36647</v>
      </c>
      <c r="B7" s="143">
        <f>+'GD Options'!M5</f>
        <v>6.1739896749392023E-2</v>
      </c>
      <c r="C7" s="218">
        <f ca="1">1/((1+B7/2)^(2*(A7-$B$1)/365.25))</f>
        <v>0.9877561963730469</v>
      </c>
      <c r="D7" s="128">
        <f>IF($D$18=1,-'Deal Volumes'!D22-'Deal Volumes'!H22,'Model - Summer'!$D$19)</f>
        <v>-65914.085023696505</v>
      </c>
      <c r="E7" s="222">
        <f>IF($D$18=1,-'Deal Volumes'!F22-'Deal Volumes'!J22-'Deal Volumes'!L22,'Model - Summer'!$D$20)</f>
        <v>-9085.9149763034948</v>
      </c>
      <c r="F7" s="129">
        <f>+(D7)*'Deal Volumes'!B22</f>
        <v>-2043336.6357345916</v>
      </c>
      <c r="G7" s="222">
        <f>+E7*'Deal Volumes'!B22</f>
        <v>-281663.36426540837</v>
      </c>
      <c r="H7" s="222">
        <f>+F7+G7</f>
        <v>-2325000</v>
      </c>
      <c r="I7" s="128">
        <f t="shared" ref="I7:J11" ca="1" si="0">+F7*$C7</f>
        <v>-2018318.4232228983</v>
      </c>
      <c r="J7" s="129">
        <f t="shared" ca="1" si="0"/>
        <v>-278214.73334443575</v>
      </c>
      <c r="K7" s="130">
        <f ca="1">SUM(I7:J7)</f>
        <v>-2296533.1565673342</v>
      </c>
      <c r="L7" s="137">
        <f>+Curves!C2</f>
        <v>-5.0000000000000001E-3</v>
      </c>
      <c r="M7" s="138">
        <f>+Curves!E2</f>
        <v>-5.0000000000000001E-3</v>
      </c>
      <c r="N7" s="147">
        <f ca="1">+I7*(L7-$H$1)+J7*(M7-$H$1)</f>
        <v>115340.79261211246</v>
      </c>
      <c r="O7" s="154">
        <f ca="1">-I7*(L7-$F$1)</f>
        <v>-10091.592116114492</v>
      </c>
      <c r="P7" s="155">
        <f ca="1">-J7*(M7-$F$2)</f>
        <v>0</v>
      </c>
      <c r="Q7" s="154">
        <f ca="1">SUM(O7:P7)</f>
        <v>-10091.592116114492</v>
      </c>
      <c r="R7" s="162">
        <f ca="1">-'Deal Volumes'!C22*C7</f>
        <v>-736590.15823189879</v>
      </c>
      <c r="S7" s="163">
        <f ca="1">+R7*$S$1</f>
        <v>-29463.606329275954</v>
      </c>
      <c r="T7" s="128">
        <f ca="1">+$T$1*K7</f>
        <v>-75785.594166722032</v>
      </c>
      <c r="U7" s="168">
        <f ca="1">+Q7+T7+S7</f>
        <v>-115340.79261211248</v>
      </c>
      <c r="V7" s="189">
        <f ca="1">+N7+U7</f>
        <v>0</v>
      </c>
    </row>
    <row r="8" spans="1:28" s="124" customFormat="1" ht="15" x14ac:dyDescent="0.2">
      <c r="A8" s="125">
        <v>36678</v>
      </c>
      <c r="B8" s="144">
        <f>+'GD Options'!M6</f>
        <v>6.2588347760123994E-2</v>
      </c>
      <c r="C8" s="219">
        <f ca="1">1/((1+B8/2)^(2*(A8-$B$1)/365.25))</f>
        <v>0.98243926726516972</v>
      </c>
      <c r="D8" s="131">
        <f>IF($D$18=1,-'Deal Volumes'!D23-'Deal Volumes'!H23,'Model - Summer'!$D$19)</f>
        <v>-65914.085023696505</v>
      </c>
      <c r="E8" s="223">
        <f>IF($D$18=1,-'Deal Volumes'!F23-'Deal Volumes'!J23-'Deal Volumes'!L23,'Model - Summer'!$D$20)</f>
        <v>-9085.9149763034911</v>
      </c>
      <c r="F8" s="132">
        <f>+(D8)*'Deal Volumes'!B23</f>
        <v>-1977422.5507108951</v>
      </c>
      <c r="G8" s="223">
        <f>+E8*'Deal Volumes'!B23</f>
        <v>-272577.44928910473</v>
      </c>
      <c r="H8" s="223">
        <f>+F8+G8</f>
        <v>-2250000</v>
      </c>
      <c r="I8" s="131">
        <f t="shared" ca="1" si="0"/>
        <v>-1942697.5617940347</v>
      </c>
      <c r="J8" s="132">
        <f t="shared" ca="1" si="0"/>
        <v>-267790.78955259698</v>
      </c>
      <c r="K8" s="133">
        <f ca="1">SUM(I8:J8)</f>
        <v>-2210488.3513466315</v>
      </c>
      <c r="L8" s="139">
        <f>+Curves!C3</f>
        <v>-5.0000000000000001E-3</v>
      </c>
      <c r="M8" s="140">
        <f>+Curves!E3</f>
        <v>-5.0000000000000001E-3</v>
      </c>
      <c r="N8" s="148">
        <f ca="1">+I8*(L8-$H$1)+J8*(M8-$H$1)</f>
        <v>111019.28912938247</v>
      </c>
      <c r="O8" s="156">
        <f ca="1">-I8*(L8-$F$1)</f>
        <v>-9713.4878089701742</v>
      </c>
      <c r="P8" s="157">
        <f ca="1">-J8*(M8-$F$2)</f>
        <v>0</v>
      </c>
      <c r="Q8" s="156">
        <f ca="1">SUM(O8:P8)</f>
        <v>-9713.4878089701742</v>
      </c>
      <c r="R8" s="182">
        <f ca="1">-'Deal Volumes'!C23*C8</f>
        <v>-708992.14314933645</v>
      </c>
      <c r="S8" s="164">
        <f ca="1">+R8*$S$1</f>
        <v>-28359.685725973457</v>
      </c>
      <c r="T8" s="131">
        <f ca="1">+$T$1*K8</f>
        <v>-72946.115594438845</v>
      </c>
      <c r="U8" s="169">
        <f ca="1">+Q8+T8+S8</f>
        <v>-111019.28912938247</v>
      </c>
      <c r="V8" s="190">
        <f ca="1">+N8+U8</f>
        <v>0</v>
      </c>
    </row>
    <row r="9" spans="1:28" s="124" customFormat="1" ht="15" x14ac:dyDescent="0.2">
      <c r="A9" s="125">
        <v>36708</v>
      </c>
      <c r="B9" s="144">
        <f>+'GD Options'!M7</f>
        <v>6.3435677173907024E-2</v>
      </c>
      <c r="C9" s="219">
        <f ca="1">1/((1+B9/2)^(2*(A9-$B$1)/365.25))</f>
        <v>0.97718206202577018</v>
      </c>
      <c r="D9" s="131">
        <f>IF($D$18=1,-'Deal Volumes'!D24-'Deal Volumes'!H24,'Model - Summer'!$D$19)</f>
        <v>-87885.446698262007</v>
      </c>
      <c r="E9" s="223">
        <f>IF($D$18=1,-'Deal Volumes'!F24-'Deal Volumes'!J24-'Deal Volumes'!L24,'Model - Summer'!$D$20)</f>
        <v>-12114.553301737989</v>
      </c>
      <c r="F9" s="132">
        <f>+(D9)*'Deal Volumes'!B24</f>
        <v>-2724448.8476461223</v>
      </c>
      <c r="G9" s="223">
        <f>+E9*'Deal Volumes'!B24</f>
        <v>-375551.15235387767</v>
      </c>
      <c r="H9" s="223">
        <f>+F9+G9</f>
        <v>-3100000</v>
      </c>
      <c r="I9" s="131">
        <f t="shared" ca="1" si="0"/>
        <v>-2662282.542826571</v>
      </c>
      <c r="J9" s="132">
        <f t="shared" ca="1" si="0"/>
        <v>-366981.84945331636</v>
      </c>
      <c r="K9" s="133">
        <f ca="1">SUM(I9:J9)</f>
        <v>-3029264.3922798876</v>
      </c>
      <c r="L9" s="139">
        <f>+Curves!C4</f>
        <v>0</v>
      </c>
      <c r="M9" s="140">
        <f>+Curves!E4</f>
        <v>-5.0000000000000001E-3</v>
      </c>
      <c r="N9" s="148">
        <f ca="1">+I9*(L9-$H$1)+J9*(M9-$H$1)</f>
        <v>138829.98138594709</v>
      </c>
      <c r="O9" s="156">
        <f ca="1">-I9*(L9-$F$1)</f>
        <v>0</v>
      </c>
      <c r="P9" s="157">
        <f ca="1">-J9*(M9-$F$2)</f>
        <v>0</v>
      </c>
      <c r="Q9" s="156">
        <f ca="1">SUM(O9:P9)</f>
        <v>0</v>
      </c>
      <c r="R9" s="182">
        <f ca="1">-'Deal Volumes'!C24*C9</f>
        <v>-971606.41101777065</v>
      </c>
      <c r="S9" s="164">
        <f ca="1">+R9*$S$1</f>
        <v>-38864.256440710829</v>
      </c>
      <c r="T9" s="131">
        <f ca="1">+$T$1*K9</f>
        <v>-99965.724945236288</v>
      </c>
      <c r="U9" s="169">
        <f ca="1">+Q9+T9+S9</f>
        <v>-138829.98138594712</v>
      </c>
      <c r="V9" s="190">
        <f ca="1">+N9+U9</f>
        <v>0</v>
      </c>
    </row>
    <row r="10" spans="1:28" s="124" customFormat="1" ht="15" x14ac:dyDescent="0.2">
      <c r="A10" s="125">
        <v>36739</v>
      </c>
      <c r="B10" s="144">
        <f>+'GD Options'!M8</f>
        <v>6.4112455868492998E-2</v>
      </c>
      <c r="C10" s="219">
        <f ca="1">1/((1+B10/2)^(2*(A10-$B$1)/365.25))</f>
        <v>0.97172663372006085</v>
      </c>
      <c r="D10" s="131">
        <f>IF($D$18=1,-'Deal Volumes'!D25-'Deal Volumes'!H25,'Model - Summer'!$D$19)</f>
        <v>-87885.446698262007</v>
      </c>
      <c r="E10" s="223">
        <f>IF($D$18=1,-'Deal Volumes'!F25-'Deal Volumes'!J25-'Deal Volumes'!L25,'Model - Summer'!$D$20)</f>
        <v>-12114.553301737989</v>
      </c>
      <c r="F10" s="132">
        <f>+(D10)*'Deal Volumes'!B25</f>
        <v>-2724448.8476461223</v>
      </c>
      <c r="G10" s="223">
        <f>+E10*'Deal Volumes'!B25</f>
        <v>-375551.15235387767</v>
      </c>
      <c r="H10" s="223">
        <f>+F10+G10</f>
        <v>-3100000</v>
      </c>
      <c r="I10" s="131">
        <f t="shared" ca="1" si="0"/>
        <v>-2647419.5074656652</v>
      </c>
      <c r="J10" s="132">
        <f t="shared" ca="1" si="0"/>
        <v>-364933.05706652324</v>
      </c>
      <c r="K10" s="133">
        <f ca="1">SUM(I10:J10)</f>
        <v>-3012352.5645321887</v>
      </c>
      <c r="L10" s="139">
        <f>+Curves!C5</f>
        <v>0</v>
      </c>
      <c r="M10" s="140">
        <f>+Curves!E5</f>
        <v>-5.0000000000000001E-3</v>
      </c>
      <c r="N10" s="148">
        <f ca="1">+I10*(L10-$H$1)+J10*(M10-$H$1)</f>
        <v>138054.91905154046</v>
      </c>
      <c r="O10" s="156">
        <f ca="1">-I10*(L10-$F$1)</f>
        <v>0</v>
      </c>
      <c r="P10" s="157">
        <f ca="1">-J10*(M10-$F$2)</f>
        <v>0</v>
      </c>
      <c r="Q10" s="156">
        <f ca="1">SUM(O10:P10)</f>
        <v>0</v>
      </c>
      <c r="R10" s="182">
        <f ca="1">-'Deal Volumes'!C25*C10</f>
        <v>-966182.11054945609</v>
      </c>
      <c r="S10" s="164">
        <f ca="1">+R10*$S$1</f>
        <v>-38647.284421978242</v>
      </c>
      <c r="T10" s="131">
        <f ca="1">+$T$1*K10</f>
        <v>-99407.634629562235</v>
      </c>
      <c r="U10" s="169">
        <f ca="1">+Q10+T10+S10</f>
        <v>-138054.91905154049</v>
      </c>
      <c r="V10" s="190">
        <f ca="1">+N10+U10</f>
        <v>0</v>
      </c>
    </row>
    <row r="11" spans="1:28" s="124" customFormat="1" ht="15" x14ac:dyDescent="0.2">
      <c r="A11" s="125">
        <v>36770</v>
      </c>
      <c r="B11" s="145">
        <f>+'GD Options'!M9</f>
        <v>6.4789234714962021E-2</v>
      </c>
      <c r="C11" s="220">
        <f ca="1">1/((1+B11/2)^(2*(A11-$B$1)/365.25))</f>
        <v>0.96619420072707174</v>
      </c>
      <c r="D11" s="134">
        <f>IF($D$18=1,-'Deal Volumes'!D26-'Deal Volumes'!H26,'Model - Summer'!$D$19)</f>
        <v>-87885.446698262007</v>
      </c>
      <c r="E11" s="224">
        <f>IF($D$18=1,-'Deal Volumes'!F26-'Deal Volumes'!J26-'Deal Volumes'!L26,'Model - Summer'!$D$20)</f>
        <v>-12114.553301737989</v>
      </c>
      <c r="F11" s="135">
        <f>+(D11)*'Deal Volumes'!B26</f>
        <v>-2636563.4009478604</v>
      </c>
      <c r="G11" s="224">
        <f>+E11*'Deal Volumes'!B26</f>
        <v>-363436.59905213967</v>
      </c>
      <c r="H11" s="224">
        <f>+F11+G11</f>
        <v>-3000000</v>
      </c>
      <c r="I11" s="134">
        <f t="shared" ca="1" si="0"/>
        <v>-2547432.2678450681</v>
      </c>
      <c r="J11" s="135">
        <f t="shared" ca="1" si="0"/>
        <v>-351150.33433614735</v>
      </c>
      <c r="K11" s="136">
        <f ca="1">SUM(I11:J11)</f>
        <v>-2898582.6021812153</v>
      </c>
      <c r="L11" s="141">
        <f>+Curves!C6</f>
        <v>0</v>
      </c>
      <c r="M11" s="142">
        <f>+Curves!E6</f>
        <v>-5.0000000000000001E-3</v>
      </c>
      <c r="N11" s="149">
        <f ca="1">+I11*(L11-$H$1)+J11*(M11-$H$1)</f>
        <v>132840.88695988205</v>
      </c>
      <c r="O11" s="158">
        <f ca="1">-I11*(L11-$F$1)</f>
        <v>0</v>
      </c>
      <c r="P11" s="159">
        <f ca="1">-J11*(M11-$F$2)</f>
        <v>0</v>
      </c>
      <c r="Q11" s="158">
        <f ca="1">SUM(O11:P11)</f>
        <v>0</v>
      </c>
      <c r="R11" s="183">
        <f ca="1">-'Deal Volumes'!C26*C11</f>
        <v>-929691.52719754796</v>
      </c>
      <c r="S11" s="165">
        <f ca="1">+R11*$S$1</f>
        <v>-37187.661087901921</v>
      </c>
      <c r="T11" s="134">
        <f ca="1">+$T$1*K11</f>
        <v>-95653.225871980103</v>
      </c>
      <c r="U11" s="170">
        <f ca="1">+Q11+T11+S11</f>
        <v>-132840.88695988202</v>
      </c>
      <c r="V11" s="191">
        <f ca="1">+N11+U11</f>
        <v>0</v>
      </c>
    </row>
    <row r="12" spans="1:28" s="124" customFormat="1" x14ac:dyDescent="0.2">
      <c r="R12" s="161"/>
    </row>
    <row r="13" spans="1:28" s="176" customFormat="1" ht="18" x14ac:dyDescent="0.25">
      <c r="A13" s="173" t="s">
        <v>6</v>
      </c>
      <c r="B13" s="174"/>
      <c r="C13" s="174"/>
      <c r="D13" s="174"/>
      <c r="E13" s="174"/>
      <c r="F13" s="175">
        <f t="shared" ref="F13:K13" si="1">SUM(F7:F11)</f>
        <v>-12106220.282685593</v>
      </c>
      <c r="G13" s="175">
        <f t="shared" si="1"/>
        <v>-1668779.7173144082</v>
      </c>
      <c r="H13" s="175">
        <f t="shared" si="1"/>
        <v>-13775000</v>
      </c>
      <c r="I13" s="175">
        <f t="shared" ca="1" si="1"/>
        <v>-11818150.303154238</v>
      </c>
      <c r="J13" s="175">
        <f t="shared" ca="1" si="1"/>
        <v>-1629070.7637530197</v>
      </c>
      <c r="K13" s="175">
        <f t="shared" ca="1" si="1"/>
        <v>-13447221.066907257</v>
      </c>
      <c r="L13" s="174"/>
      <c r="M13" s="174"/>
      <c r="N13" s="172">
        <f t="shared" ref="N13:T13" ca="1" si="2">SUM(N7:N11)</f>
        <v>636085.86913886457</v>
      </c>
      <c r="O13" s="172">
        <f t="shared" ca="1" si="2"/>
        <v>-19805.079925084669</v>
      </c>
      <c r="P13" s="172">
        <f t="shared" ca="1" si="2"/>
        <v>0</v>
      </c>
      <c r="Q13" s="172">
        <f t="shared" ca="1" si="2"/>
        <v>-19805.079925084669</v>
      </c>
      <c r="R13" s="175">
        <f t="shared" ca="1" si="2"/>
        <v>-4313062.3501460096</v>
      </c>
      <c r="S13" s="172">
        <f t="shared" ca="1" si="2"/>
        <v>-172522.49400584039</v>
      </c>
      <c r="T13" s="172">
        <f t="shared" ca="1" si="2"/>
        <v>-443758.29520793946</v>
      </c>
      <c r="U13" s="172">
        <f ca="1">SUM(U7:U11)</f>
        <v>-636085.86913886457</v>
      </c>
      <c r="V13" s="180">
        <f ca="1">SUM(V7:V11)</f>
        <v>0</v>
      </c>
    </row>
    <row r="14" spans="1:28" s="124" customFormat="1" ht="15" x14ac:dyDescent="0.2">
      <c r="A14" s="150" t="s">
        <v>106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2">
        <f ca="1">-N13/$K$13</f>
        <v>4.7302402925778538E-2</v>
      </c>
      <c r="O14" s="202"/>
      <c r="P14" s="202"/>
      <c r="Q14" s="202">
        <f ca="1">-Q13/$K$13</f>
        <v>-1.4728009472398495E-3</v>
      </c>
      <c r="R14" s="202"/>
      <c r="S14" s="202">
        <f ca="1">-S13/$K$13</f>
        <v>-1.2829601978538682E-2</v>
      </c>
      <c r="T14" s="202">
        <f ca="1">-T13/$K$13</f>
        <v>-3.3000000000000002E-2</v>
      </c>
      <c r="U14" s="202">
        <f ca="1">-U13/$K$13</f>
        <v>-4.7302402925778538E-2</v>
      </c>
      <c r="V14" s="203">
        <f ca="1">-V13/$K$13</f>
        <v>0</v>
      </c>
      <c r="X14" s="121"/>
      <c r="Y14" s="121"/>
      <c r="Z14" s="121"/>
      <c r="AA14" s="121"/>
      <c r="AB14" s="121"/>
    </row>
    <row r="17" spans="3:20" ht="15.75" customHeight="1" x14ac:dyDescent="0.2">
      <c r="L17" s="241"/>
      <c r="M17" s="241"/>
    </row>
    <row r="18" spans="3:20" s="221" customFormat="1" ht="18" x14ac:dyDescent="0.25">
      <c r="C18" s="221" t="s">
        <v>113</v>
      </c>
      <c r="D18" s="240">
        <v>1</v>
      </c>
      <c r="E18" s="221" t="s">
        <v>115</v>
      </c>
      <c r="L18" s="241"/>
      <c r="M18" s="241"/>
      <c r="N18" s="121"/>
      <c r="O18" s="121"/>
    </row>
    <row r="19" spans="3:20" s="221" customFormat="1" ht="18" x14ac:dyDescent="0.25">
      <c r="C19" s="221" t="s">
        <v>121</v>
      </c>
      <c r="D19" s="237">
        <v>12</v>
      </c>
      <c r="L19" s="241"/>
      <c r="M19" s="241"/>
      <c r="N19" s="121"/>
      <c r="O19" s="121"/>
    </row>
    <row r="20" spans="3:20" s="221" customFormat="1" ht="18" x14ac:dyDescent="0.25">
      <c r="C20" s="221" t="s">
        <v>63</v>
      </c>
      <c r="D20" s="238">
        <v>12</v>
      </c>
      <c r="L20" s="241"/>
      <c r="M20" s="241"/>
      <c r="N20" s="121"/>
      <c r="O20" s="121"/>
    </row>
    <row r="21" spans="3:20" x14ac:dyDescent="0.2">
      <c r="D21" s="121" t="s">
        <v>110</v>
      </c>
      <c r="L21" s="241"/>
      <c r="M21" s="241"/>
    </row>
    <row r="23" spans="3:20" x14ac:dyDescent="0.2">
      <c r="N23" s="211"/>
      <c r="Q23" s="211"/>
      <c r="T23" s="241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odelSummerBreakeven">
                <anchor moveWithCells="1" sizeWithCells="1">
                  <from>
                    <xdr:col>7</xdr:col>
                    <xdr:colOff>180975</xdr:colOff>
                    <xdr:row>16</xdr:row>
                    <xdr:rowOff>190500</xdr:rowOff>
                  </from>
                  <to>
                    <xdr:col>8</xdr:col>
                    <xdr:colOff>752475</xdr:colOff>
                    <xdr:row>20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topLeftCell="F1" zoomScale="75" workbookViewId="0">
      <selection activeCell="G31" sqref="F31:G33"/>
    </sheetView>
  </sheetViews>
  <sheetFormatPr defaultRowHeight="12.75" x14ac:dyDescent="0.2"/>
  <cols>
    <col min="1" max="1" width="14" style="121" customWidth="1"/>
    <col min="2" max="2" width="11.28515625" style="121" customWidth="1"/>
    <col min="3" max="3" width="19.5703125" style="121" customWidth="1"/>
    <col min="4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0" width="14.5703125" style="121" customWidth="1"/>
    <col min="11" max="11" width="13.140625" style="121" customWidth="1"/>
    <col min="12" max="12" width="14.5703125" style="121" customWidth="1"/>
    <col min="13" max="13" width="18" style="121" bestFit="1" customWidth="1"/>
    <col min="14" max="14" width="10.28515625" style="121" bestFit="1" customWidth="1"/>
    <col min="15" max="15" width="11.7109375" style="121" customWidth="1"/>
    <col min="16" max="16" width="9.85546875" style="121" customWidth="1"/>
    <col min="17" max="17" width="12.85546875" style="121" customWidth="1"/>
    <col min="18" max="18" width="15.42578125" style="121" bestFit="1" customWidth="1"/>
    <col min="19" max="19" width="14.7109375" style="121" bestFit="1" customWidth="1"/>
    <col min="20" max="20" width="9.140625" style="121"/>
    <col min="21" max="21" width="10.42578125" style="121" customWidth="1"/>
    <col min="22" max="22" width="9.140625" style="121"/>
    <col min="23" max="23" width="10.85546875" style="121" customWidth="1"/>
    <col min="24" max="16384" width="9.140625" style="121"/>
  </cols>
  <sheetData>
    <row r="1" spans="1:18" x14ac:dyDescent="0.2">
      <c r="A1" s="150" t="s">
        <v>89</v>
      </c>
      <c r="B1" s="151">
        <f ca="1">TODAY()</f>
        <v>36573</v>
      </c>
      <c r="D1" s="127" t="s">
        <v>83</v>
      </c>
      <c r="E1" s="153">
        <v>0</v>
      </c>
      <c r="F1" s="152" t="s">
        <v>4</v>
      </c>
      <c r="G1" s="153">
        <v>7.2999999999999995E-2</v>
      </c>
      <c r="H1" s="227"/>
      <c r="I1" s="152" t="s">
        <v>95</v>
      </c>
      <c r="J1" s="171">
        <v>0.04</v>
      </c>
      <c r="K1" s="171">
        <v>3.3000000000000002E-2</v>
      </c>
    </row>
    <row r="2" spans="1:18" x14ac:dyDescent="0.2">
      <c r="F2" s="122"/>
      <c r="G2" s="122"/>
      <c r="H2" s="122"/>
      <c r="I2" s="122"/>
      <c r="J2" s="126"/>
    </row>
    <row r="3" spans="1:18" x14ac:dyDescent="0.2">
      <c r="F3" s="122"/>
      <c r="G3" s="122"/>
      <c r="H3" s="122"/>
      <c r="I3" s="122"/>
      <c r="J3" s="126"/>
    </row>
    <row r="4" spans="1:18" s="123" customFormat="1" ht="25.5" x14ac:dyDescent="0.2">
      <c r="A4" s="213" t="s">
        <v>5</v>
      </c>
      <c r="B4" s="207" t="s">
        <v>39</v>
      </c>
      <c r="C4" s="214" t="s">
        <v>0</v>
      </c>
      <c r="D4" s="207" t="s">
        <v>116</v>
      </c>
      <c r="E4" s="208" t="s">
        <v>107</v>
      </c>
      <c r="F4" s="213" t="s">
        <v>108</v>
      </c>
      <c r="G4" s="213" t="s">
        <v>109</v>
      </c>
      <c r="H4" s="213" t="s">
        <v>98</v>
      </c>
      <c r="I4" s="208" t="s">
        <v>91</v>
      </c>
      <c r="J4" s="213" t="s">
        <v>92</v>
      </c>
      <c r="K4" s="208" t="s">
        <v>96</v>
      </c>
      <c r="L4" s="213" t="s">
        <v>97</v>
      </c>
      <c r="M4" s="209" t="s">
        <v>99</v>
      </c>
      <c r="O4" s="184" t="s">
        <v>100</v>
      </c>
      <c r="P4" s="185" t="s">
        <v>92</v>
      </c>
      <c r="Q4" s="185" t="s">
        <v>96</v>
      </c>
      <c r="R4" s="186" t="s">
        <v>101</v>
      </c>
    </row>
    <row r="5" spans="1:18" x14ac:dyDescent="0.2">
      <c r="A5" s="124"/>
      <c r="B5" s="124"/>
      <c r="H5" s="146"/>
      <c r="O5" s="187">
        <f ca="1">+$R$5-SUM($P$5:Q5)</f>
        <v>0</v>
      </c>
      <c r="P5" s="188">
        <f ca="1">-J13</f>
        <v>0.04</v>
      </c>
      <c r="Q5" s="188">
        <f>+$K$1</f>
        <v>3.3000000000000002E-2</v>
      </c>
      <c r="R5" s="212">
        <f>+$G$1</f>
        <v>7.2999999999999995E-2</v>
      </c>
    </row>
    <row r="6" spans="1:18" s="124" customFormat="1" ht="15" x14ac:dyDescent="0.2">
      <c r="A6" s="125">
        <v>36647</v>
      </c>
      <c r="B6" s="143">
        <f>+'GD Options'!M5</f>
        <v>6.1739896749392023E-2</v>
      </c>
      <c r="C6" s="218">
        <f ca="1">1/((1+B6/2)^(2*(A6-$B$1)/365.25))</f>
        <v>0.9877561963730469</v>
      </c>
      <c r="D6" s="128">
        <f>+$D$17</f>
        <v>-75000</v>
      </c>
      <c r="E6" s="222">
        <f>+D6*'Deal Volumes'!B22</f>
        <v>-2325000</v>
      </c>
      <c r="F6" s="222">
        <f ca="1">+C6*E6</f>
        <v>-2296533.1565673342</v>
      </c>
      <c r="G6" s="137">
        <f>+Curves!C2</f>
        <v>-5.0000000000000001E-3</v>
      </c>
      <c r="H6" s="147">
        <f ca="1">+F6*(G6-$G$1)</f>
        <v>179129.58621225206</v>
      </c>
      <c r="I6" s="155">
        <f ca="1">-F6*(G6-$E$1)</f>
        <v>-11482.665782836671</v>
      </c>
      <c r="J6" s="204">
        <f ca="1">+$J$1*F6</f>
        <v>-91861.326262693372</v>
      </c>
      <c r="K6" s="128">
        <f ca="1">+$K$1*F6</f>
        <v>-75785.594166722032</v>
      </c>
      <c r="L6" s="168">
        <f ca="1">+K6+J6+I6</f>
        <v>-179129.58621225209</v>
      </c>
      <c r="M6" s="189">
        <f ca="1">+H6+L6</f>
        <v>0</v>
      </c>
    </row>
    <row r="7" spans="1:18" s="124" customFormat="1" ht="15" x14ac:dyDescent="0.2">
      <c r="A7" s="125">
        <v>36678</v>
      </c>
      <c r="B7" s="144">
        <f>+'GD Options'!M6</f>
        <v>6.2588347760123994E-2</v>
      </c>
      <c r="C7" s="219">
        <f ca="1">1/((1+B7/2)^(2*(A7-$B$1)/365.25))</f>
        <v>0.98243926726516972</v>
      </c>
      <c r="D7" s="131">
        <f>+$D$17</f>
        <v>-75000</v>
      </c>
      <c r="E7" s="223">
        <f>+D7*'Deal Volumes'!B23</f>
        <v>-2250000</v>
      </c>
      <c r="F7" s="223">
        <f ca="1">+C7*E7</f>
        <v>-2210488.351346632</v>
      </c>
      <c r="G7" s="139">
        <f>+Curves!C3</f>
        <v>-5.0000000000000001E-3</v>
      </c>
      <c r="H7" s="148">
        <f ca="1">+F7*(G7-$G$1)</f>
        <v>172418.0914050373</v>
      </c>
      <c r="I7" s="157">
        <f ca="1">-F7*(G7-$E$1)</f>
        <v>-11052.44175673316</v>
      </c>
      <c r="J7" s="205">
        <f ca="1">+$J$1*F7</f>
        <v>-88419.534053865282</v>
      </c>
      <c r="K7" s="131">
        <f ca="1">+$K$1*F7</f>
        <v>-72946.115594438859</v>
      </c>
      <c r="L7" s="169">
        <f ca="1">+K7+J7+I7</f>
        <v>-172418.09140503732</v>
      </c>
      <c r="M7" s="190">
        <f ca="1">+H7+L7</f>
        <v>0</v>
      </c>
    </row>
    <row r="8" spans="1:18" s="124" customFormat="1" ht="15" x14ac:dyDescent="0.2">
      <c r="A8" s="125">
        <v>36708</v>
      </c>
      <c r="B8" s="144">
        <f>+'GD Options'!M7</f>
        <v>6.3435677173907024E-2</v>
      </c>
      <c r="C8" s="219">
        <f ca="1">1/((1+B8/2)^(2*(A8-$B$1)/365.25))</f>
        <v>0.97718206202577018</v>
      </c>
      <c r="D8" s="131">
        <f>+$D$17</f>
        <v>-75000</v>
      </c>
      <c r="E8" s="223">
        <f>+D8*'Deal Volumes'!B24</f>
        <v>-2325000</v>
      </c>
      <c r="F8" s="223">
        <f ca="1">+C8*E8</f>
        <v>-2271948.2942099157</v>
      </c>
      <c r="G8" s="139">
        <f>+Curves!C4</f>
        <v>0</v>
      </c>
      <c r="H8" s="148">
        <f ca="1">+F8*(G8-$G$1)</f>
        <v>165852.22547732384</v>
      </c>
      <c r="I8" s="157">
        <f ca="1">-F8*(G8-$E$1)</f>
        <v>0</v>
      </c>
      <c r="J8" s="205">
        <f ca="1">+$J$1*F8</f>
        <v>-90877.931768396622</v>
      </c>
      <c r="K8" s="131">
        <f ca="1">+$K$1*F8</f>
        <v>-74974.293708927216</v>
      </c>
      <c r="L8" s="169">
        <f ca="1">+K8+J8+I8</f>
        <v>-165852.22547732384</v>
      </c>
      <c r="M8" s="190">
        <f ca="1">+H8+L8</f>
        <v>0</v>
      </c>
    </row>
    <row r="9" spans="1:18" s="124" customFormat="1" ht="15" x14ac:dyDescent="0.2">
      <c r="A9" s="125">
        <v>36739</v>
      </c>
      <c r="B9" s="144">
        <f>+'GD Options'!M8</f>
        <v>6.4112455868492998E-2</v>
      </c>
      <c r="C9" s="219">
        <f ca="1">1/((1+B9/2)^(2*(A9-$B$1)/365.25))</f>
        <v>0.97172663372006085</v>
      </c>
      <c r="D9" s="131">
        <f>+$D$17</f>
        <v>-75000</v>
      </c>
      <c r="E9" s="223">
        <f>+D9*'Deal Volumes'!B25</f>
        <v>-2325000</v>
      </c>
      <c r="F9" s="223">
        <f ca="1">+C9*E9</f>
        <v>-2259264.4233991415</v>
      </c>
      <c r="G9" s="139">
        <f>+Curves!C5</f>
        <v>0</v>
      </c>
      <c r="H9" s="148">
        <f ca="1">+F9*(G9-$G$1)</f>
        <v>164926.30290813732</v>
      </c>
      <c r="I9" s="157">
        <f ca="1">-F9*(G9-$E$1)</f>
        <v>0</v>
      </c>
      <c r="J9" s="205">
        <f ca="1">+$J$1*F9</f>
        <v>-90370.57693596567</v>
      </c>
      <c r="K9" s="131">
        <f ca="1">+$K$1*F9</f>
        <v>-74555.725972171669</v>
      </c>
      <c r="L9" s="169">
        <f ca="1">+K9+J9+I9</f>
        <v>-164926.30290813732</v>
      </c>
      <c r="M9" s="190">
        <f ca="1">+H9+L9</f>
        <v>0</v>
      </c>
    </row>
    <row r="10" spans="1:18" s="124" customFormat="1" ht="15" x14ac:dyDescent="0.2">
      <c r="A10" s="125">
        <v>36770</v>
      </c>
      <c r="B10" s="145">
        <f>+'GD Options'!M9</f>
        <v>6.4789234714962021E-2</v>
      </c>
      <c r="C10" s="220">
        <f ca="1">1/((1+B10/2)^(2*(A10-$B$1)/365.25))</f>
        <v>0.96619420072707174</v>
      </c>
      <c r="D10" s="134">
        <f>+$D$17</f>
        <v>-75000</v>
      </c>
      <c r="E10" s="224">
        <f>+D10*'Deal Volumes'!B26</f>
        <v>-2250000</v>
      </c>
      <c r="F10" s="224">
        <f ca="1">+C10*E10</f>
        <v>-2173936.9516359116</v>
      </c>
      <c r="G10" s="141">
        <f>+Curves!C6</f>
        <v>0</v>
      </c>
      <c r="H10" s="149">
        <f ca="1">+F10*(G10-$G$1)</f>
        <v>158697.39746942153</v>
      </c>
      <c r="I10" s="159">
        <f ca="1">-F10*(G10-$E$1)</f>
        <v>0</v>
      </c>
      <c r="J10" s="206">
        <f ca="1">+$J$1*F10</f>
        <v>-86957.478065436459</v>
      </c>
      <c r="K10" s="134">
        <f ca="1">+$K$1*F10</f>
        <v>-71739.919403985085</v>
      </c>
      <c r="L10" s="170">
        <f ca="1">+K10+J10+I10</f>
        <v>-158697.39746942156</v>
      </c>
      <c r="M10" s="191">
        <f ca="1">+H10+L10</f>
        <v>0</v>
      </c>
    </row>
    <row r="11" spans="1:18" s="124" customFormat="1" x14ac:dyDescent="0.2"/>
    <row r="12" spans="1:18" s="176" customFormat="1" ht="18" x14ac:dyDescent="0.25">
      <c r="A12" s="173" t="s">
        <v>6</v>
      </c>
      <c r="B12" s="174"/>
      <c r="C12" s="174"/>
      <c r="D12" s="174"/>
      <c r="E12" s="175">
        <f>SUM(E6:E10)</f>
        <v>-11475000</v>
      </c>
      <c r="F12" s="175">
        <f ca="1">SUM(F6:F10)</f>
        <v>-11212171.177158935</v>
      </c>
      <c r="G12" s="174"/>
      <c r="H12" s="172">
        <f t="shared" ref="H12:M12" ca="1" si="0">SUM(H6:H10)</f>
        <v>841023.60347217205</v>
      </c>
      <c r="I12" s="172">
        <f t="shared" ca="1" si="0"/>
        <v>-22535.107539569832</v>
      </c>
      <c r="J12" s="172">
        <f t="shared" ca="1" si="0"/>
        <v>-448486.84708635742</v>
      </c>
      <c r="K12" s="172">
        <f t="shared" ca="1" si="0"/>
        <v>-370001.64884624485</v>
      </c>
      <c r="L12" s="172">
        <f t="shared" ca="1" si="0"/>
        <v>-841023.60347217205</v>
      </c>
      <c r="M12" s="180">
        <f t="shared" ca="1" si="0"/>
        <v>0</v>
      </c>
    </row>
    <row r="13" spans="1:18" s="124" customFormat="1" x14ac:dyDescent="0.2">
      <c r="A13" s="150" t="s">
        <v>106</v>
      </c>
      <c r="B13" s="201"/>
      <c r="C13" s="201"/>
      <c r="D13" s="201"/>
      <c r="E13" s="201"/>
      <c r="F13" s="201"/>
      <c r="G13" s="201"/>
      <c r="H13" s="202">
        <f ca="1">-H12/$F$12</f>
        <v>7.5009879013038752E-2</v>
      </c>
      <c r="I13" s="202"/>
      <c r="J13" s="202">
        <f ca="1">-J12/$F$12</f>
        <v>-0.04</v>
      </c>
      <c r="K13" s="202">
        <f ca="1">-K12/$F$12</f>
        <v>-3.3000000000000002E-2</v>
      </c>
      <c r="L13" s="202">
        <f ca="1">-L12/$F$12</f>
        <v>-7.5009879013038752E-2</v>
      </c>
      <c r="M13" s="210">
        <f ca="1">-M12/$F$12</f>
        <v>0</v>
      </c>
      <c r="O13" s="121"/>
      <c r="P13" s="121"/>
      <c r="Q13" s="121"/>
      <c r="R13" s="121"/>
    </row>
    <row r="17" spans="1:10" ht="18" x14ac:dyDescent="0.25">
      <c r="C17" s="221" t="s">
        <v>116</v>
      </c>
      <c r="D17" s="237">
        <v>-75000</v>
      </c>
    </row>
    <row r="18" spans="1:10" ht="18" x14ac:dyDescent="0.25">
      <c r="D18" s="239"/>
    </row>
    <row r="21" spans="1:10" ht="18" x14ac:dyDescent="0.25">
      <c r="A21" s="225"/>
      <c r="B21" s="226"/>
      <c r="C21" s="225"/>
      <c r="D21" s="221"/>
    </row>
    <row r="22" spans="1:10" ht="18" x14ac:dyDescent="0.25">
      <c r="A22" s="225"/>
      <c r="B22" s="226"/>
      <c r="C22" s="225"/>
      <c r="D22" s="221"/>
    </row>
    <row r="23" spans="1:10" ht="18" x14ac:dyDescent="0.25">
      <c r="A23" s="225"/>
      <c r="B23" s="226"/>
      <c r="C23" s="225"/>
      <c r="D23" s="221"/>
      <c r="J23" s="211"/>
    </row>
  </sheetData>
  <pageMargins left="0.75" right="0.75" top="1" bottom="1" header="0.5" footer="0.5"/>
  <pageSetup paperSize="5" scale="4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PhOnlyBreakeven">
                <anchor moveWithCells="1" sizeWithCells="1">
                  <from>
                    <xdr:col>7</xdr:col>
                    <xdr:colOff>57150</xdr:colOff>
                    <xdr:row>16</xdr:row>
                    <xdr:rowOff>152400</xdr:rowOff>
                  </from>
                  <to>
                    <xdr:col>8</xdr:col>
                    <xdr:colOff>628650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41"/>
  <sheetViews>
    <sheetView zoomScale="75" workbookViewId="0">
      <pane xSplit="2985" topLeftCell="O1" activePane="topRight"/>
      <selection activeCell="A4" sqref="A4:IV4"/>
      <selection pane="topRight" activeCell="U13" sqref="U13"/>
    </sheetView>
  </sheetViews>
  <sheetFormatPr defaultRowHeight="12.75" x14ac:dyDescent="0.2"/>
  <cols>
    <col min="1" max="1" width="14" style="121" customWidth="1"/>
    <col min="2" max="2" width="10.7109375" style="121" customWidth="1"/>
    <col min="3" max="3" width="19.28515625" style="121" customWidth="1"/>
    <col min="4" max="4" width="14.5703125" style="121" bestFit="1" customWidth="1"/>
    <col min="5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1" width="14.5703125" style="121" customWidth="1"/>
    <col min="12" max="12" width="13.85546875" style="121" bestFit="1" customWidth="1"/>
    <col min="13" max="13" width="13.7109375" style="121" customWidth="1"/>
    <col min="14" max="14" width="14.42578125" style="121" bestFit="1" customWidth="1"/>
    <col min="15" max="15" width="12.85546875" style="121" bestFit="1" customWidth="1"/>
    <col min="16" max="16" width="14.5703125" style="121" customWidth="1"/>
    <col min="17" max="17" width="12.85546875" style="121" bestFit="1" customWidth="1"/>
    <col min="18" max="18" width="15.85546875" style="121" bestFit="1" customWidth="1"/>
    <col min="19" max="19" width="14.7109375" style="121" bestFit="1" customWidth="1"/>
    <col min="20" max="20" width="16.85546875" style="121" customWidth="1"/>
    <col min="21" max="21" width="16.140625" style="121" bestFit="1" customWidth="1"/>
    <col min="22" max="22" width="14.7109375" style="121" bestFit="1" customWidth="1"/>
    <col min="23" max="23" width="9.5703125" style="121" customWidth="1"/>
    <col min="24" max="24" width="9.28515625" style="121" customWidth="1"/>
    <col min="25" max="25" width="8.85546875" style="121" customWidth="1"/>
    <col min="26" max="26" width="9" style="121" customWidth="1"/>
    <col min="27" max="16384" width="9.140625" style="121"/>
  </cols>
  <sheetData>
    <row r="1" spans="1:28" x14ac:dyDescent="0.2">
      <c r="A1" s="150" t="s">
        <v>89</v>
      </c>
      <c r="B1" s="151">
        <f ca="1">TODAY()</f>
        <v>36573</v>
      </c>
      <c r="E1" s="127" t="s">
        <v>83</v>
      </c>
      <c r="F1" s="153">
        <v>-2.5000000000000001E-3</v>
      </c>
      <c r="G1" s="152" t="s">
        <v>4</v>
      </c>
      <c r="H1" s="153">
        <v>4.1766308532210174E-2</v>
      </c>
      <c r="J1" s="124" t="s">
        <v>104</v>
      </c>
      <c r="K1" s="124">
        <v>713964</v>
      </c>
      <c r="R1" s="166" t="s">
        <v>95</v>
      </c>
      <c r="S1" s="171">
        <v>0.04</v>
      </c>
      <c r="T1" s="171">
        <v>3.6999999999999998E-2</v>
      </c>
    </row>
    <row r="2" spans="1:28" x14ac:dyDescent="0.2">
      <c r="E2" s="127" t="s">
        <v>84</v>
      </c>
      <c r="F2" s="153">
        <v>-7.4999999999999997E-3</v>
      </c>
      <c r="G2" s="126"/>
    </row>
    <row r="3" spans="1:28" x14ac:dyDescent="0.2">
      <c r="F3" s="122"/>
      <c r="G3" s="122"/>
      <c r="H3" s="122"/>
      <c r="I3" s="122"/>
      <c r="J3" s="126"/>
      <c r="K3" s="126"/>
    </row>
    <row r="4" spans="1:28" s="122" customFormat="1" x14ac:dyDescent="0.2">
      <c r="A4" s="232"/>
      <c r="B4" s="233"/>
      <c r="C4" s="233"/>
      <c r="D4" s="245" t="s">
        <v>87</v>
      </c>
      <c r="E4" s="245"/>
      <c r="F4" s="245"/>
      <c r="G4" s="245"/>
      <c r="H4" s="245"/>
      <c r="I4" s="245" t="s">
        <v>88</v>
      </c>
      <c r="J4" s="245"/>
      <c r="K4" s="245"/>
      <c r="L4" s="245" t="s">
        <v>85</v>
      </c>
      <c r="M4" s="245"/>
      <c r="N4" s="233"/>
      <c r="O4" s="245" t="s">
        <v>117</v>
      </c>
      <c r="P4" s="245"/>
      <c r="Q4" s="245"/>
      <c r="R4" s="245" t="s">
        <v>118</v>
      </c>
      <c r="S4" s="245"/>
      <c r="T4" s="179" t="s">
        <v>119</v>
      </c>
      <c r="U4" s="234"/>
      <c r="V4" s="236"/>
      <c r="X4" s="246" t="s">
        <v>102</v>
      </c>
      <c r="Y4" s="247"/>
      <c r="Z4" s="247"/>
      <c r="AA4" s="248"/>
    </row>
    <row r="5" spans="1:28" s="123" customFormat="1" ht="25.5" customHeight="1" x14ac:dyDescent="0.2">
      <c r="A5" s="177" t="s">
        <v>5</v>
      </c>
      <c r="B5" s="178" t="s">
        <v>39</v>
      </c>
      <c r="C5" s="178" t="s">
        <v>0</v>
      </c>
      <c r="D5" s="178" t="s">
        <v>114</v>
      </c>
      <c r="E5" s="178" t="s">
        <v>63</v>
      </c>
      <c r="F5" s="178" t="s">
        <v>90</v>
      </c>
      <c r="G5" s="178" t="s">
        <v>63</v>
      </c>
      <c r="H5" s="178" t="s">
        <v>86</v>
      </c>
      <c r="I5" s="178" t="str">
        <f>+F5</f>
        <v>IF-A/S EAST OFFER</v>
      </c>
      <c r="J5" s="178" t="str">
        <f>+G5</f>
        <v>HSC</v>
      </c>
      <c r="K5" s="178" t="s">
        <v>86</v>
      </c>
      <c r="L5" s="178" t="str">
        <f>+F5</f>
        <v>IF-A/S EAST OFFER</v>
      </c>
      <c r="M5" s="178" t="str">
        <f>+G5</f>
        <v>HSC</v>
      </c>
      <c r="N5" s="178" t="s">
        <v>98</v>
      </c>
      <c r="O5" s="178" t="str">
        <f>+F5</f>
        <v>IF-A/S EAST OFFER</v>
      </c>
      <c r="P5" s="178" t="str">
        <f>+G5</f>
        <v>HSC</v>
      </c>
      <c r="Q5" s="178" t="s">
        <v>86</v>
      </c>
      <c r="R5" s="178" t="s">
        <v>93</v>
      </c>
      <c r="S5" s="178" t="s">
        <v>94</v>
      </c>
      <c r="T5" s="178" t="s">
        <v>94</v>
      </c>
      <c r="U5" s="235" t="s">
        <v>97</v>
      </c>
      <c r="V5" s="181" t="s">
        <v>99</v>
      </c>
      <c r="X5" s="184" t="s">
        <v>100</v>
      </c>
      <c r="Y5" s="185" t="s">
        <v>92</v>
      </c>
      <c r="Z5" s="185" t="s">
        <v>96</v>
      </c>
      <c r="AA5" s="186" t="s">
        <v>101</v>
      </c>
    </row>
    <row r="6" spans="1:28" x14ac:dyDescent="0.2">
      <c r="A6" s="124"/>
      <c r="B6" s="124"/>
      <c r="N6" s="146"/>
      <c r="R6" s="160"/>
      <c r="X6" s="187">
        <f ca="1">+AA6-SUM(Y6:Z6)</f>
        <v>-1.6800032406101582E-2</v>
      </c>
      <c r="Y6" s="188">
        <f ca="1">+$S$20/$K$20</f>
        <v>2.1566340938311754E-2</v>
      </c>
      <c r="Z6" s="188">
        <f>+$T$1</f>
        <v>3.6999999999999998E-2</v>
      </c>
      <c r="AA6" s="212">
        <f>+H1</f>
        <v>4.1766308532210174E-2</v>
      </c>
    </row>
    <row r="7" spans="1:28" s="124" customFormat="1" ht="15" x14ac:dyDescent="0.2">
      <c r="A7" s="125">
        <v>36647</v>
      </c>
      <c r="B7" s="143">
        <f>+'GD Options'!M5</f>
        <v>6.1739896749392023E-2</v>
      </c>
      <c r="C7" s="218">
        <f ca="1">1/((1+B7/2)^(2*(A7-$B$1)/365.25))</f>
        <v>0.9877561963730469</v>
      </c>
      <c r="D7" s="128">
        <f>IF($D$24,-'Deal Volumes'!D22-'Deal Volumes'!H22,'Model - Term'!$D$25)</f>
        <v>-65914.085023696505</v>
      </c>
      <c r="E7" s="222">
        <f>IF($D$24=1,-'Deal Volumes'!F22-'Deal Volumes'!J22-'Deal Volumes'!L22,'Model - Term'!$D$26)</f>
        <v>-9085.9149763034948</v>
      </c>
      <c r="F7" s="129">
        <f>+(D7)*'Deal Volumes'!B22</f>
        <v>-2043336.6357345916</v>
      </c>
      <c r="G7" s="222">
        <f>+E7*'Deal Volumes'!B22</f>
        <v>-281663.36426540837</v>
      </c>
      <c r="H7" s="222">
        <f>+F7+G7</f>
        <v>-2325000</v>
      </c>
      <c r="I7" s="128">
        <f ca="1">+F7*$C7</f>
        <v>-2018318.4232228983</v>
      </c>
      <c r="J7" s="129">
        <f ca="1">+G7*$C7</f>
        <v>-278214.73334443575</v>
      </c>
      <c r="K7" s="130">
        <f ca="1">SUM(I7:J7)</f>
        <v>-2296533.1565673342</v>
      </c>
      <c r="L7" s="137">
        <f>+Curves!C2</f>
        <v>-5.0000000000000001E-3</v>
      </c>
      <c r="M7" s="138">
        <f>+Curves!E2</f>
        <v>-5.0000000000000001E-3</v>
      </c>
      <c r="N7" s="147">
        <f ca="1">+I7*(L7-$H$1)+J7*(M7-$H$1)</f>
        <v>107400.37815447847</v>
      </c>
      <c r="O7" s="154">
        <f ca="1">-I7*(L7-$F$1)</f>
        <v>-5045.7960580572462</v>
      </c>
      <c r="P7" s="155">
        <f ca="1">-J7*(M7-$F$2)</f>
        <v>695.53683336108929</v>
      </c>
      <c r="Q7" s="154">
        <f ca="1">SUM(O7:P7)</f>
        <v>-4350.2592246961567</v>
      </c>
      <c r="R7" s="162">
        <f>+D7*'Deal Volumes'!B22</f>
        <v>-2043336.6357345916</v>
      </c>
      <c r="S7" s="198">
        <f>+R7*$S$1</f>
        <v>-81733.465429383665</v>
      </c>
      <c r="T7" s="215">
        <f ca="1">+$T$1*K7</f>
        <v>-84971.726792991365</v>
      </c>
      <c r="U7" s="168">
        <f ca="1">+Q7+T7+S7</f>
        <v>-171055.45144707119</v>
      </c>
      <c r="V7" s="189">
        <f t="shared" ref="V7:V18" ca="1" si="0">+N7+U7</f>
        <v>-63655.073292592715</v>
      </c>
      <c r="Z7" s="192"/>
    </row>
    <row r="8" spans="1:28" s="124" customFormat="1" ht="15" x14ac:dyDescent="0.2">
      <c r="A8" s="125">
        <v>36678</v>
      </c>
      <c r="B8" s="144">
        <f>+'GD Options'!M6</f>
        <v>6.2588347760123994E-2</v>
      </c>
      <c r="C8" s="219">
        <f t="shared" ref="C8:C18" ca="1" si="1">1/((1+B8/2)^(2*(A8-$B$1)/365.25))</f>
        <v>0.98243926726516972</v>
      </c>
      <c r="D8" s="131">
        <f>IF($D$24,-'Deal Volumes'!D23-'Deal Volumes'!H23,'Model - Term'!$D$25)</f>
        <v>-65914.085023696505</v>
      </c>
      <c r="E8" s="223">
        <f>IF($D$24=1,-'Deal Volumes'!F23-'Deal Volumes'!J23-'Deal Volumes'!L23,'Model - Term'!$D$26)</f>
        <v>-9085.9149763034911</v>
      </c>
      <c r="F8" s="132">
        <f>+(D8)*'Deal Volumes'!B23</f>
        <v>-1977422.5507108951</v>
      </c>
      <c r="G8" s="223">
        <f>+E8*'Deal Volumes'!B23</f>
        <v>-272577.44928910473</v>
      </c>
      <c r="H8" s="223">
        <f t="shared" ref="H8:H18" si="2">+F8+G8</f>
        <v>-2250000</v>
      </c>
      <c r="I8" s="131">
        <f t="shared" ref="I8:I18" ca="1" si="3">+F8*$C8</f>
        <v>-1942697.5617940347</v>
      </c>
      <c r="J8" s="132">
        <f t="shared" ref="J8:J18" ca="1" si="4">+G8*$C8</f>
        <v>-267790.78955259698</v>
      </c>
      <c r="K8" s="133">
        <f t="shared" ref="K8:K18" ca="1" si="5">SUM(I8:J8)</f>
        <v>-2210488.3513466315</v>
      </c>
      <c r="L8" s="139">
        <f>+Curves!C3</f>
        <v>-5.0000000000000001E-3</v>
      </c>
      <c r="M8" s="140">
        <f>+Curves!E3</f>
        <v>-5.0000000000000001E-3</v>
      </c>
      <c r="N8" s="148">
        <f t="shared" ref="N8:N18" ca="1" si="6">+I8*(L8-$H$1)+J8*(M8-$H$1)</f>
        <v>103376.38024593318</v>
      </c>
      <c r="O8" s="156">
        <f t="shared" ref="O8:O18" ca="1" si="7">-I8*(L8-$F$1)</f>
        <v>-4856.7439044850871</v>
      </c>
      <c r="P8" s="157">
        <f t="shared" ref="P8:P18" ca="1" si="8">-J8*(M8-$F$2)</f>
        <v>669.47697388149231</v>
      </c>
      <c r="Q8" s="156">
        <f t="shared" ref="Q8:Q18" ca="1" si="9">SUM(O8:P8)</f>
        <v>-4187.266930603595</v>
      </c>
      <c r="R8" s="182">
        <f>+D8*'Deal Volumes'!B23</f>
        <v>-1977422.5507108951</v>
      </c>
      <c r="S8" s="199">
        <f>+R8*$S$1</f>
        <v>-79096.902028435812</v>
      </c>
      <c r="T8" s="216">
        <f t="shared" ref="T8:T18" ca="1" si="10">+$T$1*K8</f>
        <v>-81788.068999825366</v>
      </c>
      <c r="U8" s="169">
        <f t="shared" ref="U8:U18" ca="1" si="11">+Q8+T8+S8</f>
        <v>-165072.23795886477</v>
      </c>
      <c r="V8" s="190">
        <f t="shared" ca="1" si="0"/>
        <v>-61695.857712931596</v>
      </c>
      <c r="X8" s="121"/>
      <c r="Y8" s="121"/>
      <c r="Z8" s="121"/>
      <c r="AA8" s="121"/>
      <c r="AB8" s="121"/>
    </row>
    <row r="9" spans="1:28" s="124" customFormat="1" ht="15" x14ac:dyDescent="0.2">
      <c r="A9" s="125">
        <v>36708</v>
      </c>
      <c r="B9" s="144">
        <f>+'GD Options'!M7</f>
        <v>6.3435677173907024E-2</v>
      </c>
      <c r="C9" s="219">
        <f t="shared" ca="1" si="1"/>
        <v>0.97718206202577018</v>
      </c>
      <c r="D9" s="131">
        <f>IF($D$24,-'Deal Volumes'!D24-'Deal Volumes'!H24,'Model - Term'!$D$25)</f>
        <v>-87885.446698262007</v>
      </c>
      <c r="E9" s="223">
        <f>IF($D$24=1,-'Deal Volumes'!F24-'Deal Volumes'!J24-'Deal Volumes'!L24,'Model - Term'!$D$26)</f>
        <v>-12114.553301737989</v>
      </c>
      <c r="F9" s="132">
        <f>+(D9)*'Deal Volumes'!B24</f>
        <v>-2724448.8476461223</v>
      </c>
      <c r="G9" s="223">
        <f>+E9*'Deal Volumes'!B24</f>
        <v>-375551.15235387767</v>
      </c>
      <c r="H9" s="223">
        <f t="shared" si="2"/>
        <v>-3100000</v>
      </c>
      <c r="I9" s="131">
        <f t="shared" ca="1" si="3"/>
        <v>-2662282.542826571</v>
      </c>
      <c r="J9" s="132">
        <f t="shared" ca="1" si="4"/>
        <v>-366981.84945331636</v>
      </c>
      <c r="K9" s="133">
        <f t="shared" ca="1" si="5"/>
        <v>-3029264.3922798876</v>
      </c>
      <c r="L9" s="139">
        <f>+Curves!C4</f>
        <v>0</v>
      </c>
      <c r="M9" s="140">
        <f>+Curves!E4</f>
        <v>-5.0000000000000001E-3</v>
      </c>
      <c r="N9" s="148">
        <f t="shared" ca="1" si="6"/>
        <v>128356.10048086652</v>
      </c>
      <c r="O9" s="156">
        <f t="shared" ca="1" si="7"/>
        <v>6655.7063570664277</v>
      </c>
      <c r="P9" s="157">
        <f t="shared" ca="1" si="8"/>
        <v>917.45462363329079</v>
      </c>
      <c r="Q9" s="156">
        <f t="shared" ca="1" si="9"/>
        <v>7573.1609806997185</v>
      </c>
      <c r="R9" s="182">
        <f>+D9*'Deal Volumes'!B24</f>
        <v>-2724448.8476461223</v>
      </c>
      <c r="S9" s="199">
        <f>+R9*$S$1</f>
        <v>-108977.9539058449</v>
      </c>
      <c r="T9" s="216">
        <f t="shared" ca="1" si="10"/>
        <v>-112082.78251435583</v>
      </c>
      <c r="U9" s="169">
        <f t="shared" ca="1" si="11"/>
        <v>-213487.57543950103</v>
      </c>
      <c r="V9" s="190">
        <f t="shared" ca="1" si="0"/>
        <v>-85131.474958634513</v>
      </c>
      <c r="X9" s="121"/>
      <c r="Z9" s="121"/>
      <c r="AA9" s="121"/>
      <c r="AB9" s="121"/>
    </row>
    <row r="10" spans="1:28" s="124" customFormat="1" ht="15" x14ac:dyDescent="0.2">
      <c r="A10" s="125">
        <v>36739</v>
      </c>
      <c r="B10" s="144">
        <f>+'GD Options'!M8</f>
        <v>6.4112455868492998E-2</v>
      </c>
      <c r="C10" s="219">
        <f t="shared" ca="1" si="1"/>
        <v>0.97172663372006085</v>
      </c>
      <c r="D10" s="131">
        <f>IF($D$24,-'Deal Volumes'!D25-'Deal Volumes'!H25,'Model - Term'!$D$25)</f>
        <v>-87885.446698262007</v>
      </c>
      <c r="E10" s="223">
        <f>IF($D$24=1,-'Deal Volumes'!F25-'Deal Volumes'!J25-'Deal Volumes'!L25,'Model - Term'!$D$26)</f>
        <v>-12114.553301737989</v>
      </c>
      <c r="F10" s="132">
        <f>+(D10)*'Deal Volumes'!B25</f>
        <v>-2724448.8476461223</v>
      </c>
      <c r="G10" s="223">
        <f>+E10*'Deal Volumes'!B25</f>
        <v>-375551.15235387767</v>
      </c>
      <c r="H10" s="223">
        <f t="shared" si="2"/>
        <v>-3100000</v>
      </c>
      <c r="I10" s="131">
        <f t="shared" ca="1" si="3"/>
        <v>-2647419.5074656652</v>
      </c>
      <c r="J10" s="132">
        <f t="shared" ca="1" si="4"/>
        <v>-364933.05706652324</v>
      </c>
      <c r="K10" s="133">
        <f t="shared" ca="1" si="5"/>
        <v>-3012352.5645321887</v>
      </c>
      <c r="L10" s="139">
        <f>+Curves!C5</f>
        <v>0</v>
      </c>
      <c r="M10" s="140">
        <f>+Curves!E5</f>
        <v>-5.0000000000000001E-3</v>
      </c>
      <c r="N10" s="148">
        <f t="shared" ca="1" si="6"/>
        <v>127639.51190337856</v>
      </c>
      <c r="O10" s="156">
        <f t="shared" ca="1" si="7"/>
        <v>6618.5487686641636</v>
      </c>
      <c r="P10" s="157">
        <f t="shared" ca="1" si="8"/>
        <v>912.33264266630795</v>
      </c>
      <c r="Q10" s="156">
        <f t="shared" ca="1" si="9"/>
        <v>7530.8814113304716</v>
      </c>
      <c r="R10" s="182">
        <f>+D10*'Deal Volumes'!B25</f>
        <v>-2724448.8476461223</v>
      </c>
      <c r="S10" s="199">
        <f>+R10*$S$1</f>
        <v>-108977.9539058449</v>
      </c>
      <c r="T10" s="216">
        <f t="shared" ca="1" si="10"/>
        <v>-111457.04488769098</v>
      </c>
      <c r="U10" s="169">
        <f t="shared" ca="1" si="11"/>
        <v>-212904.11738220541</v>
      </c>
      <c r="V10" s="190">
        <f t="shared" ca="1" si="0"/>
        <v>-85264.605478826852</v>
      </c>
      <c r="X10" s="121"/>
      <c r="Y10" s="121"/>
      <c r="Z10" s="121"/>
      <c r="AA10" s="121"/>
      <c r="AB10" s="121"/>
    </row>
    <row r="11" spans="1:28" s="124" customFormat="1" ht="15" x14ac:dyDescent="0.2">
      <c r="A11" s="125">
        <v>36770</v>
      </c>
      <c r="B11" s="144">
        <f>+'GD Options'!M9</f>
        <v>6.4789234714962021E-2</v>
      </c>
      <c r="C11" s="219">
        <f t="shared" ca="1" si="1"/>
        <v>0.96619420072707174</v>
      </c>
      <c r="D11" s="131">
        <f>IF($D$24,-'Deal Volumes'!D26-'Deal Volumes'!H26,'Model - Term'!$D$25)</f>
        <v>-87885.446698262007</v>
      </c>
      <c r="E11" s="223">
        <f>IF($D$24=1,-'Deal Volumes'!F26-'Deal Volumes'!J26-'Deal Volumes'!L26,'Model - Term'!$D$26)</f>
        <v>-12114.553301737989</v>
      </c>
      <c r="F11" s="132">
        <f>+(D11)*'Deal Volumes'!B26</f>
        <v>-2636563.4009478604</v>
      </c>
      <c r="G11" s="223">
        <f>+E11*'Deal Volumes'!B26</f>
        <v>-363436.59905213967</v>
      </c>
      <c r="H11" s="223">
        <f t="shared" si="2"/>
        <v>-3000000</v>
      </c>
      <c r="I11" s="131">
        <f t="shared" ca="1" si="3"/>
        <v>-2547432.2678450681</v>
      </c>
      <c r="J11" s="132">
        <f t="shared" ca="1" si="4"/>
        <v>-351150.33433614735</v>
      </c>
      <c r="K11" s="133">
        <f t="shared" ca="1" si="5"/>
        <v>-2898582.6021812153</v>
      </c>
      <c r="L11" s="139">
        <f>+Curves!C6</f>
        <v>0</v>
      </c>
      <c r="M11" s="140">
        <f>+Curves!E6</f>
        <v>-5.0000000000000001E-3</v>
      </c>
      <c r="N11" s="148">
        <f t="shared" ca="1" si="6"/>
        <v>122818.846940478</v>
      </c>
      <c r="O11" s="156">
        <f t="shared" ca="1" si="7"/>
        <v>6368.5806696126701</v>
      </c>
      <c r="P11" s="157">
        <f t="shared" ca="1" si="8"/>
        <v>877.87583584036827</v>
      </c>
      <c r="Q11" s="156">
        <f t="shared" ca="1" si="9"/>
        <v>7246.4565054530385</v>
      </c>
      <c r="R11" s="182">
        <f>+D11*'Deal Volumes'!B26</f>
        <v>-2636563.4009478604</v>
      </c>
      <c r="S11" s="199">
        <f>+R11*$S$1</f>
        <v>-105462.53603791443</v>
      </c>
      <c r="T11" s="216">
        <f t="shared" ca="1" si="10"/>
        <v>-107247.55628070496</v>
      </c>
      <c r="U11" s="169">
        <f t="shared" ca="1" si="11"/>
        <v>-205463.63581316633</v>
      </c>
      <c r="V11" s="190">
        <f t="shared" ca="1" si="0"/>
        <v>-82644.788872688325</v>
      </c>
      <c r="X11" s="121"/>
      <c r="Y11" s="121"/>
      <c r="AA11" s="121"/>
      <c r="AB11" s="121"/>
    </row>
    <row r="12" spans="1:28" s="124" customFormat="1" ht="15" x14ac:dyDescent="0.2">
      <c r="A12" s="125">
        <v>36800</v>
      </c>
      <c r="B12" s="144">
        <f>+'GD Options'!M10</f>
        <v>6.5417688435194007E-2</v>
      </c>
      <c r="C12" s="219">
        <f t="shared" ca="1" si="1"/>
        <v>0.96078385118608622</v>
      </c>
      <c r="D12" s="131">
        <f>IF($D$24,-'Deal Volumes'!D27-'Deal Volumes'!H27,'Model - Term'!$D$25)</f>
        <v>-39548.451014217906</v>
      </c>
      <c r="E12" s="223">
        <f>IF($D$24=1,-'Deal Volumes'!F27-'Deal Volumes'!J27-'Deal Volumes'!L27,'Model - Term'!$D$26)</f>
        <v>-5451.5489857820967</v>
      </c>
      <c r="F12" s="132">
        <f>+(D12)*'Deal Volumes'!B27</f>
        <v>-1226001.9814407551</v>
      </c>
      <c r="G12" s="223">
        <f>+E12*'Deal Volumes'!B27</f>
        <v>-168998.01855924499</v>
      </c>
      <c r="H12" s="223">
        <f t="shared" si="2"/>
        <v>-1395000</v>
      </c>
      <c r="I12" s="131">
        <f t="shared" ca="1" si="3"/>
        <v>-1177922.9052904213</v>
      </c>
      <c r="J12" s="132">
        <f t="shared" ca="1" si="4"/>
        <v>-162370.56711416907</v>
      </c>
      <c r="K12" s="133">
        <f t="shared" ca="1" si="5"/>
        <v>-1340293.4724045903</v>
      </c>
      <c r="L12" s="139">
        <f>+Curves!C7</f>
        <v>-5.0000000000000001E-3</v>
      </c>
      <c r="M12" s="140">
        <f>+Curves!E7</f>
        <v>-5.0000000000000001E-3</v>
      </c>
      <c r="N12" s="148">
        <f t="shared" ca="1" si="6"/>
        <v>62680.578054180398</v>
      </c>
      <c r="O12" s="156">
        <f t="shared" ca="1" si="7"/>
        <v>-2944.8072632260532</v>
      </c>
      <c r="P12" s="157">
        <f t="shared" ca="1" si="8"/>
        <v>405.92641778542259</v>
      </c>
      <c r="Q12" s="156">
        <f t="shared" ca="1" si="9"/>
        <v>-2538.8808454406308</v>
      </c>
      <c r="R12" s="182">
        <f>+D12*'Deal Volumes'!B27</f>
        <v>-1226001.9814407551</v>
      </c>
      <c r="S12" s="199">
        <v>0</v>
      </c>
      <c r="T12" s="216">
        <f t="shared" ca="1" si="10"/>
        <v>-49590.858478969843</v>
      </c>
      <c r="U12" s="169">
        <f t="shared" ca="1" si="11"/>
        <v>-52129.739324410475</v>
      </c>
      <c r="V12" s="190">
        <f t="shared" ca="1" si="0"/>
        <v>10550.838729769923</v>
      </c>
      <c r="X12" s="121"/>
      <c r="Y12" s="121"/>
      <c r="Z12" s="121"/>
      <c r="AA12" s="121"/>
      <c r="AB12" s="121"/>
    </row>
    <row r="13" spans="1:28" s="124" customFormat="1" ht="15" x14ac:dyDescent="0.2">
      <c r="A13" s="125">
        <v>36831</v>
      </c>
      <c r="B13" s="144">
        <f>+'GD Options'!M11</f>
        <v>6.6017878160483018E-2</v>
      </c>
      <c r="C13" s="219">
        <f t="shared" ca="1" si="1"/>
        <v>0.95515692634051952</v>
      </c>
      <c r="D13" s="131">
        <f>IF($D$24,-'Deal Volumes'!D28-'Deal Volumes'!H28,'Model - Term'!$D$25)</f>
        <v>-39548.451014217906</v>
      </c>
      <c r="E13" s="223">
        <f>IF($D$24=1,-'Deal Volumes'!F28-'Deal Volumes'!J28-'Deal Volumes'!L28,'Model - Term'!$D$26)</f>
        <v>-5451.5489857820967</v>
      </c>
      <c r="F13" s="132">
        <f>+(D13)*'Deal Volumes'!B28</f>
        <v>-1186453.5304265372</v>
      </c>
      <c r="G13" s="223">
        <f>+E13*'Deal Volumes'!B28</f>
        <v>-163546.46957346291</v>
      </c>
      <c r="H13" s="223">
        <f t="shared" si="2"/>
        <v>-1350000</v>
      </c>
      <c r="I13" s="131">
        <f t="shared" ca="1" si="3"/>
        <v>-1133249.3073680692</v>
      </c>
      <c r="J13" s="132">
        <f t="shared" ca="1" si="4"/>
        <v>-156212.54319163214</v>
      </c>
      <c r="K13" s="133">
        <f t="shared" ca="1" si="5"/>
        <v>-1289461.8505597012</v>
      </c>
      <c r="L13" s="139">
        <f>+Curves!C8</f>
        <v>-5.0000000000000001E-3</v>
      </c>
      <c r="M13" s="140">
        <f>+Curves!E8</f>
        <v>-5.0000000000000001E-3</v>
      </c>
      <c r="N13" s="148">
        <f t="shared" ca="1" si="6"/>
        <v>60303.370743789674</v>
      </c>
      <c r="O13" s="156">
        <f t="shared" ca="1" si="7"/>
        <v>-2833.1232684201732</v>
      </c>
      <c r="P13" s="157">
        <f t="shared" ca="1" si="8"/>
        <v>390.53135797908027</v>
      </c>
      <c r="Q13" s="156">
        <f t="shared" ca="1" si="9"/>
        <v>-2442.5919104410928</v>
      </c>
      <c r="R13" s="182">
        <f>+D13*'Deal Volumes'!B28</f>
        <v>-1186453.5304265372</v>
      </c>
      <c r="S13" s="199">
        <v>0</v>
      </c>
      <c r="T13" s="216">
        <f t="shared" ca="1" si="10"/>
        <v>-47710.088470708943</v>
      </c>
      <c r="U13" s="169">
        <f t="shared" ca="1" si="11"/>
        <v>-50152.680381150036</v>
      </c>
      <c r="V13" s="190">
        <f t="shared" ca="1" si="0"/>
        <v>10150.690362639638</v>
      </c>
      <c r="X13" s="121"/>
      <c r="Y13" s="121"/>
      <c r="Z13" s="121"/>
      <c r="AA13" s="121"/>
      <c r="AB13" s="121"/>
    </row>
    <row r="14" spans="1:28" s="124" customFormat="1" ht="15" x14ac:dyDescent="0.2">
      <c r="A14" s="125">
        <v>36861</v>
      </c>
      <c r="B14" s="144">
        <f>+'GD Options'!M12</f>
        <v>6.6598707040522009E-2</v>
      </c>
      <c r="C14" s="219">
        <f t="shared" ca="1" si="1"/>
        <v>0.94965382130548281</v>
      </c>
      <c r="D14" s="131">
        <f>IF($D$24,-'Deal Volumes'!D29-'Deal Volumes'!H29,'Model - Term'!$D$25)</f>
        <v>-39548.451014217906</v>
      </c>
      <c r="E14" s="223">
        <f>IF($D$24=1,-'Deal Volumes'!F29-'Deal Volumes'!J29-'Deal Volumes'!L29,'Model - Term'!$D$26)</f>
        <v>-5451.5489857820967</v>
      </c>
      <c r="F14" s="132">
        <f>+(D14)*'Deal Volumes'!B29</f>
        <v>-1226001.9814407551</v>
      </c>
      <c r="G14" s="223">
        <f>+E14*'Deal Volumes'!B29</f>
        <v>-168998.01855924499</v>
      </c>
      <c r="H14" s="223">
        <f t="shared" si="2"/>
        <v>-1395000</v>
      </c>
      <c r="I14" s="131">
        <f t="shared" ca="1" si="3"/>
        <v>-1164277.4666033066</v>
      </c>
      <c r="J14" s="132">
        <f t="shared" ca="1" si="4"/>
        <v>-160489.61411784191</v>
      </c>
      <c r="K14" s="133">
        <f t="shared" ca="1" si="5"/>
        <v>-1324767.0807211485</v>
      </c>
      <c r="L14" s="139">
        <f>+Curves!C9</f>
        <v>0</v>
      </c>
      <c r="M14" s="140">
        <f>+Curves!E9</f>
        <v>-5.0000000000000001E-3</v>
      </c>
      <c r="N14" s="148">
        <f t="shared" ca="1" si="6"/>
        <v>56133.078697304081</v>
      </c>
      <c r="O14" s="156">
        <f t="shared" ca="1" si="7"/>
        <v>2910.6936665082667</v>
      </c>
      <c r="P14" s="157">
        <f t="shared" ca="1" si="8"/>
        <v>401.22403529460468</v>
      </c>
      <c r="Q14" s="156">
        <f ca="1">SUM(O14:P14)</f>
        <v>3311.9177018028713</v>
      </c>
      <c r="R14" s="182">
        <f>+D14*'Deal Volumes'!B29</f>
        <v>-1226001.9814407551</v>
      </c>
      <c r="S14" s="199">
        <v>1</v>
      </c>
      <c r="T14" s="216">
        <f ca="1">+$T$1*K14</f>
        <v>-49016.381986682492</v>
      </c>
      <c r="U14" s="169">
        <f t="shared" ca="1" si="11"/>
        <v>-45703.464284879621</v>
      </c>
      <c r="V14" s="190">
        <f t="shared" ca="1" si="0"/>
        <v>10429.61441242446</v>
      </c>
      <c r="X14" s="121"/>
      <c r="Y14" s="121"/>
      <c r="Z14" s="121"/>
      <c r="AA14" s="121"/>
      <c r="AB14" s="121"/>
    </row>
    <row r="15" spans="1:28" s="124" customFormat="1" ht="15" x14ac:dyDescent="0.2">
      <c r="A15" s="125">
        <v>36892</v>
      </c>
      <c r="B15" s="144">
        <f>+'GD Options'!M13</f>
        <v>6.7170475814310016E-2</v>
      </c>
      <c r="C15" s="219">
        <f t="shared" ca="1" si="1"/>
        <v>0.94393180882708261</v>
      </c>
      <c r="D15" s="131">
        <f>IF($D$24,-'Deal Volumes'!D30-'Deal Volumes'!H30,'Model - Term'!$D$25)</f>
        <v>-39548.451014217906</v>
      </c>
      <c r="E15" s="223">
        <f>IF($D$24=1,-'Deal Volumes'!F30-'Deal Volumes'!J30-'Deal Volumes'!L30,'Model - Term'!$D$26)</f>
        <v>-5451.5489857820967</v>
      </c>
      <c r="F15" s="132">
        <f>+(D15)*'Deal Volumes'!B30</f>
        <v>-1226001.9814407551</v>
      </c>
      <c r="G15" s="223">
        <f>+E15*'Deal Volumes'!B30</f>
        <v>-168998.01855924499</v>
      </c>
      <c r="H15" s="223">
        <f t="shared" si="2"/>
        <v>-1395000</v>
      </c>
      <c r="I15" s="131">
        <f t="shared" ca="1" si="3"/>
        <v>-1157262.2679669594</v>
      </c>
      <c r="J15" s="132">
        <f t="shared" ca="1" si="4"/>
        <v>-159522.60534682099</v>
      </c>
      <c r="K15" s="133">
        <f t="shared" ca="1" si="5"/>
        <v>-1316784.8733137804</v>
      </c>
      <c r="L15" s="139">
        <f>+Curves!C10</f>
        <v>0</v>
      </c>
      <c r="M15" s="140">
        <f>+Curves!E10</f>
        <v>-5.0000000000000001E-3</v>
      </c>
      <c r="N15" s="148">
        <f t="shared" ca="1" si="6"/>
        <v>55794.856316104742</v>
      </c>
      <c r="O15" s="156">
        <f t="shared" ca="1" si="7"/>
        <v>2893.1556699173984</v>
      </c>
      <c r="P15" s="157">
        <f t="shared" ca="1" si="8"/>
        <v>398.80651336705239</v>
      </c>
      <c r="Q15" s="156">
        <f t="shared" ca="1" si="9"/>
        <v>3291.9621832844509</v>
      </c>
      <c r="R15" s="182">
        <f>+D15*'Deal Volumes'!B30</f>
        <v>-1226001.9814407551</v>
      </c>
      <c r="S15" s="199">
        <v>0</v>
      </c>
      <c r="T15" s="216">
        <f t="shared" ca="1" si="10"/>
        <v>-48721.040312609875</v>
      </c>
      <c r="U15" s="169">
        <f t="shared" ca="1" si="11"/>
        <v>-45429.078129325426</v>
      </c>
      <c r="V15" s="190">
        <f t="shared" ca="1" si="0"/>
        <v>10365.778186779316</v>
      </c>
      <c r="X15" s="121"/>
      <c r="Y15" s="121"/>
      <c r="Z15" s="121"/>
      <c r="AA15" s="121"/>
      <c r="AB15" s="121"/>
    </row>
    <row r="16" spans="1:28" s="124" customFormat="1" ht="15" x14ac:dyDescent="0.2">
      <c r="A16" s="125">
        <v>36923</v>
      </c>
      <c r="B16" s="144">
        <f>+'GD Options'!M14</f>
        <v>6.7697244476728993E-2</v>
      </c>
      <c r="C16" s="219">
        <f t="shared" ca="1" si="1"/>
        <v>0.93819543028141983</v>
      </c>
      <c r="D16" s="131">
        <f>IF($D$24,-'Deal Volumes'!D31-'Deal Volumes'!H31,'Model - Term'!$D$25)</f>
        <v>-39548.451014217906</v>
      </c>
      <c r="E16" s="223">
        <f>IF($D$24=1,-'Deal Volumes'!F31-'Deal Volumes'!J31-'Deal Volumes'!L31,'Model - Term'!$D$26)</f>
        <v>-5451.5489857820958</v>
      </c>
      <c r="F16" s="132">
        <f>+(D16)*'Deal Volumes'!B31</f>
        <v>-1107356.6283981013</v>
      </c>
      <c r="G16" s="223">
        <f>+E16*'Deal Volumes'!B31</f>
        <v>-152643.37160189869</v>
      </c>
      <c r="H16" s="223">
        <f t="shared" si="2"/>
        <v>-1260000</v>
      </c>
      <c r="I16" s="131">
        <f t="shared" ca="1" si="3"/>
        <v>-1038916.9284549389</v>
      </c>
      <c r="J16" s="132">
        <f t="shared" ca="1" si="4"/>
        <v>-143209.31369965</v>
      </c>
      <c r="K16" s="133">
        <f t="shared" ca="1" si="5"/>
        <v>-1182126.2421545889</v>
      </c>
      <c r="L16" s="139">
        <f>+Curves!C11</f>
        <v>0</v>
      </c>
      <c r="M16" s="140">
        <f>+Curves!E11</f>
        <v>-5.0000000000000001E-3</v>
      </c>
      <c r="N16" s="148">
        <f t="shared" ca="1" si="6"/>
        <v>50089.095922349006</v>
      </c>
      <c r="O16" s="156">
        <f t="shared" ca="1" si="7"/>
        <v>2597.2923211373472</v>
      </c>
      <c r="P16" s="157">
        <f t="shared" ca="1" si="8"/>
        <v>358.02328424912491</v>
      </c>
      <c r="Q16" s="156">
        <f t="shared" ca="1" si="9"/>
        <v>2955.3156053864723</v>
      </c>
      <c r="R16" s="182">
        <f>+D16*'Deal Volumes'!B31</f>
        <v>-1107356.6283981013</v>
      </c>
      <c r="S16" s="199">
        <v>0</v>
      </c>
      <c r="T16" s="216">
        <f t="shared" ca="1" si="10"/>
        <v>-43738.670959719791</v>
      </c>
      <c r="U16" s="169">
        <f t="shared" ca="1" si="11"/>
        <v>-40783.355354333318</v>
      </c>
      <c r="V16" s="190">
        <f t="shared" ca="1" si="0"/>
        <v>9305.740568015688</v>
      </c>
      <c r="X16" s="121"/>
      <c r="Y16" s="121"/>
      <c r="Z16" s="121"/>
      <c r="AA16" s="121"/>
      <c r="AB16" s="121"/>
    </row>
    <row r="17" spans="1:28" s="124" customFormat="1" ht="15" x14ac:dyDescent="0.2">
      <c r="A17" s="125">
        <v>36951</v>
      </c>
      <c r="B17" s="144">
        <f>+'GD Options'!M15</f>
        <v>6.8173035605607016E-2</v>
      </c>
      <c r="C17" s="219">
        <f t="shared" ca="1" si="1"/>
        <v>0.93297489359193631</v>
      </c>
      <c r="D17" s="131">
        <f>IF($D$24,-'Deal Volumes'!D32-'Deal Volumes'!H32,'Model - Term'!$D$25)</f>
        <v>-39548.451014217906</v>
      </c>
      <c r="E17" s="223">
        <f>IF($D$24=1,-'Deal Volumes'!F32-'Deal Volumes'!J32-'Deal Volumes'!L32,'Model - Term'!$D$26)</f>
        <v>-5451.5489857820967</v>
      </c>
      <c r="F17" s="132">
        <f>+(D17)*'Deal Volumes'!B32</f>
        <v>-1226001.9814407551</v>
      </c>
      <c r="G17" s="223">
        <f>+E17*'Deal Volumes'!B32</f>
        <v>-168998.01855924499</v>
      </c>
      <c r="H17" s="223">
        <f t="shared" si="2"/>
        <v>-1395000</v>
      </c>
      <c r="I17" s="131">
        <f t="shared" ca="1" si="3"/>
        <v>-1143829.0681781915</v>
      </c>
      <c r="J17" s="132">
        <f t="shared" ca="1" si="4"/>
        <v>-157670.90838255966</v>
      </c>
      <c r="K17" s="133">
        <f t="shared" ca="1" si="5"/>
        <v>-1301499.9765607512</v>
      </c>
      <c r="L17" s="139">
        <f>+Curves!C12</f>
        <v>0</v>
      </c>
      <c r="M17" s="140">
        <f>+Curves!E12</f>
        <v>-5.0000000000000001E-3</v>
      </c>
      <c r="N17" s="148">
        <f t="shared" ca="1" si="6"/>
        <v>55147.204117613444</v>
      </c>
      <c r="O17" s="156">
        <f t="shared" ca="1" si="7"/>
        <v>2859.5726704454787</v>
      </c>
      <c r="P17" s="157">
        <f t="shared" ca="1" si="8"/>
        <v>394.17727095639907</v>
      </c>
      <c r="Q17" s="156">
        <f t="shared" ca="1" si="9"/>
        <v>3253.7499414018775</v>
      </c>
      <c r="R17" s="182">
        <f>+D17*'Deal Volumes'!B32</f>
        <v>-1226001.9814407551</v>
      </c>
      <c r="S17" s="199">
        <v>0</v>
      </c>
      <c r="T17" s="216">
        <f t="shared" ca="1" si="10"/>
        <v>-48155.499132747791</v>
      </c>
      <c r="U17" s="169">
        <f t="shared" ca="1" si="11"/>
        <v>-44901.749191345916</v>
      </c>
      <c r="V17" s="190">
        <f t="shared" ca="1" si="0"/>
        <v>10245.454926267528</v>
      </c>
      <c r="X17" s="121"/>
      <c r="Y17" s="121"/>
      <c r="Z17" s="121"/>
      <c r="AA17" s="121"/>
      <c r="AB17" s="121"/>
    </row>
    <row r="18" spans="1:28" s="124" customFormat="1" ht="15" x14ac:dyDescent="0.2">
      <c r="A18" s="125">
        <v>36982</v>
      </c>
      <c r="B18" s="145">
        <f>+'GD Options'!M16</f>
        <v>6.8656219094093002E-2</v>
      </c>
      <c r="C18" s="220">
        <f t="shared" ca="1" si="1"/>
        <v>0.92719646581767468</v>
      </c>
      <c r="D18" s="134">
        <f>IF($D$24,-'Deal Volumes'!D33-'Deal Volumes'!H33,'Model - Term'!$D$25)</f>
        <v>-39548.451014217906</v>
      </c>
      <c r="E18" s="224">
        <f>IF($D$24=1,-'Deal Volumes'!F33-'Deal Volumes'!J33-'Deal Volumes'!L33,'Model - Term'!$D$26)</f>
        <v>-5451.5489857820967</v>
      </c>
      <c r="F18" s="135">
        <f>+(D18)*'Deal Volumes'!B33</f>
        <v>-1186453.5304265372</v>
      </c>
      <c r="G18" s="224">
        <f>+E18*'Deal Volumes'!B33</f>
        <v>-163546.46957346291</v>
      </c>
      <c r="H18" s="224">
        <f t="shared" si="2"/>
        <v>-1350000</v>
      </c>
      <c r="I18" s="134">
        <f t="shared" ca="1" si="3"/>
        <v>-1100075.5202683881</v>
      </c>
      <c r="J18" s="135">
        <f t="shared" ca="1" si="4"/>
        <v>-151639.70858547266</v>
      </c>
      <c r="K18" s="136">
        <f t="shared" ca="1" si="5"/>
        <v>-1251715.2288538609</v>
      </c>
      <c r="L18" s="141">
        <f>+Curves!C13</f>
        <v>-5.0000000000000001E-3</v>
      </c>
      <c r="M18" s="142">
        <f>+Curves!E13</f>
        <v>-5.0000000000000001E-3</v>
      </c>
      <c r="N18" s="149">
        <f t="shared" ca="1" si="6"/>
        <v>58538.100587045716</v>
      </c>
      <c r="O18" s="158">
        <f t="shared" ca="1" si="7"/>
        <v>-2750.1888006709701</v>
      </c>
      <c r="P18" s="159">
        <f t="shared" ca="1" si="8"/>
        <v>379.09927146368159</v>
      </c>
      <c r="Q18" s="158">
        <f t="shared" ca="1" si="9"/>
        <v>-2371.0895292072883</v>
      </c>
      <c r="R18" s="183">
        <f>+D18*'Deal Volumes'!B33</f>
        <v>-1186453.5304265372</v>
      </c>
      <c r="S18" s="200">
        <v>0</v>
      </c>
      <c r="T18" s="217">
        <f t="shared" ca="1" si="10"/>
        <v>-46313.463467592846</v>
      </c>
      <c r="U18" s="170">
        <f t="shared" ca="1" si="11"/>
        <v>-48684.552996800136</v>
      </c>
      <c r="V18" s="191">
        <f t="shared" ca="1" si="0"/>
        <v>9853.5475902455801</v>
      </c>
      <c r="X18" s="121"/>
      <c r="Y18" s="121"/>
      <c r="Z18" s="121"/>
      <c r="AA18" s="121"/>
      <c r="AB18" s="121"/>
    </row>
    <row r="19" spans="1:28" s="124" customFormat="1" x14ac:dyDescent="0.2">
      <c r="R19" s="161"/>
      <c r="X19" s="121"/>
      <c r="Y19" s="121"/>
      <c r="Z19" s="121"/>
      <c r="AA19" s="121"/>
      <c r="AB19" s="121"/>
    </row>
    <row r="20" spans="1:28" s="176" customFormat="1" ht="18" x14ac:dyDescent="0.25">
      <c r="A20" s="173" t="s">
        <v>6</v>
      </c>
      <c r="B20" s="174"/>
      <c r="C20" s="174"/>
      <c r="D20" s="174"/>
      <c r="E20" s="174"/>
      <c r="F20" s="175">
        <f t="shared" ref="F20:K20" si="12">SUM(F7:F18)</f>
        <v>-20490491.897699788</v>
      </c>
      <c r="G20" s="175">
        <f t="shared" si="12"/>
        <v>-2824508.1023002123</v>
      </c>
      <c r="H20" s="175">
        <f t="shared" si="12"/>
        <v>-23315000</v>
      </c>
      <c r="I20" s="175">
        <f t="shared" ca="1" si="12"/>
        <v>-19733683.767284513</v>
      </c>
      <c r="J20" s="175">
        <f t="shared" ca="1" si="12"/>
        <v>-2720186.0241911658</v>
      </c>
      <c r="K20" s="175">
        <f t="shared" ca="1" si="12"/>
        <v>-22453869.791475683</v>
      </c>
      <c r="L20" s="174"/>
      <c r="M20" s="174"/>
      <c r="N20" s="172">
        <f t="shared" ref="N20:V20" ca="1" si="13">SUM(N7:N18)</f>
        <v>988277.50216352195</v>
      </c>
      <c r="O20" s="172">
        <f t="shared" ca="1" si="13"/>
        <v>12472.89082849222</v>
      </c>
      <c r="P20" s="172">
        <f t="shared" ca="1" si="13"/>
        <v>6800.4650604779144</v>
      </c>
      <c r="Q20" s="172">
        <f t="shared" ca="1" si="13"/>
        <v>19273.355888970138</v>
      </c>
      <c r="R20" s="175">
        <f t="shared" si="13"/>
        <v>-20490491.897699788</v>
      </c>
      <c r="S20" s="172">
        <f t="shared" si="13"/>
        <v>-484247.81130742363</v>
      </c>
      <c r="T20" s="172">
        <f t="shared" ca="1" si="13"/>
        <v>-830793.1822846001</v>
      </c>
      <c r="U20" s="172">
        <f t="shared" ca="1" si="13"/>
        <v>-1295767.6377030534</v>
      </c>
      <c r="V20" s="180">
        <f t="shared" ca="1" si="13"/>
        <v>-307490.13553953182</v>
      </c>
      <c r="X20" s="121"/>
      <c r="Y20" s="121"/>
      <c r="Z20" s="121"/>
      <c r="AA20" s="121"/>
      <c r="AB20" s="121"/>
    </row>
    <row r="21" spans="1:28" s="124" customFormat="1" ht="15" x14ac:dyDescent="0.2">
      <c r="A21" s="150" t="s">
        <v>106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2">
        <f ca="1">-N20/$K$20</f>
        <v>4.4013682779024066E-2</v>
      </c>
      <c r="O21" s="202"/>
      <c r="P21" s="202"/>
      <c r="Q21" s="202">
        <f ca="1">-Q20/$K$20</f>
        <v>8.5835341827300582E-4</v>
      </c>
      <c r="R21" s="202"/>
      <c r="S21" s="202">
        <f ca="1">-S20/$K$20</f>
        <v>-2.1566340938311754E-2</v>
      </c>
      <c r="T21" s="202">
        <f ca="1">-T20/$K$20</f>
        <v>-3.6999999999999991E-2</v>
      </c>
      <c r="U21" s="202">
        <f ca="1">-U20/$K$20</f>
        <v>-5.770798752003873E-2</v>
      </c>
      <c r="V21" s="203">
        <f ca="1">-V20/$K$20</f>
        <v>-1.3694304741014683E-2</v>
      </c>
      <c r="X21" s="121"/>
      <c r="Y21" s="121"/>
      <c r="Z21" s="121"/>
      <c r="AA21" s="121"/>
      <c r="AB21" s="121"/>
    </row>
    <row r="24" spans="1:28" ht="18" x14ac:dyDescent="0.25">
      <c r="C24" s="221" t="s">
        <v>113</v>
      </c>
      <c r="D24" s="240">
        <v>1</v>
      </c>
      <c r="E24" s="221" t="s">
        <v>115</v>
      </c>
      <c r="F24" s="221"/>
    </row>
    <row r="25" spans="1:28" ht="18" x14ac:dyDescent="0.25">
      <c r="C25" s="221" t="s">
        <v>120</v>
      </c>
      <c r="D25" s="237">
        <v>12</v>
      </c>
      <c r="E25" s="221"/>
      <c r="F25" s="221"/>
    </row>
    <row r="26" spans="1:28" ht="18" x14ac:dyDescent="0.25">
      <c r="C26" s="221" t="s">
        <v>63</v>
      </c>
      <c r="D26" s="238">
        <v>15</v>
      </c>
      <c r="E26" s="221"/>
      <c r="F26" s="221"/>
    </row>
    <row r="40" spans="11:11" ht="18" x14ac:dyDescent="0.25">
      <c r="K40" s="239"/>
    </row>
    <row r="41" spans="11:11" ht="18" x14ac:dyDescent="0.25">
      <c r="K41" s="239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TermBreakeven">
                <anchor moveWithCells="1" sizeWithCells="1">
                  <from>
                    <xdr:col>6</xdr:col>
                    <xdr:colOff>390525</xdr:colOff>
                    <xdr:row>22</xdr:row>
                    <xdr:rowOff>142875</xdr:rowOff>
                  </from>
                  <to>
                    <xdr:col>7</xdr:col>
                    <xdr:colOff>952500</xdr:colOff>
                    <xdr:row>26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C25" sqref="C25"/>
    </sheetView>
  </sheetViews>
  <sheetFormatPr defaultRowHeight="12.75" x14ac:dyDescent="0.2"/>
  <cols>
    <col min="1" max="1" width="10.85546875" style="69" bestFit="1" customWidth="1"/>
    <col min="3" max="3" width="11.85546875" style="77" customWidth="1"/>
    <col min="4" max="4" width="8.28515625" style="74" bestFit="1" customWidth="1"/>
    <col min="5" max="5" width="14.28515625" style="77" bestFit="1" customWidth="1"/>
    <col min="6" max="6" width="8.85546875" style="74" customWidth="1"/>
    <col min="7" max="7" width="14" style="77" bestFit="1" customWidth="1"/>
    <col min="8" max="8" width="9.140625" style="74"/>
    <col min="9" max="9" width="9.7109375" style="77" customWidth="1"/>
    <col min="10" max="10" width="9.140625" style="74"/>
    <col min="11" max="11" width="13.140625" style="77" bestFit="1" customWidth="1"/>
    <col min="12" max="12" width="9.140625" style="74"/>
    <col min="14" max="14" width="12.7109375" style="77" bestFit="1" customWidth="1"/>
  </cols>
  <sheetData>
    <row r="1" spans="1:14" ht="38.25" x14ac:dyDescent="0.2">
      <c r="A1" s="70" t="s">
        <v>5</v>
      </c>
      <c r="B1" s="70"/>
      <c r="C1" s="75" t="s">
        <v>65</v>
      </c>
      <c r="D1" s="73" t="s">
        <v>71</v>
      </c>
      <c r="E1" s="75" t="s">
        <v>66</v>
      </c>
      <c r="F1" s="73" t="s">
        <v>71</v>
      </c>
      <c r="G1" s="75" t="s">
        <v>67</v>
      </c>
      <c r="H1" s="73" t="s">
        <v>71</v>
      </c>
      <c r="I1" s="75" t="s">
        <v>68</v>
      </c>
      <c r="J1" s="73" t="s">
        <v>71</v>
      </c>
      <c r="K1" s="75" t="s">
        <v>69</v>
      </c>
      <c r="L1" s="73" t="s">
        <v>71</v>
      </c>
      <c r="M1" s="71"/>
      <c r="N1" s="75" t="s">
        <v>70</v>
      </c>
    </row>
    <row r="2" spans="1:14" x14ac:dyDescent="0.2">
      <c r="A2" s="70"/>
      <c r="B2" s="70"/>
      <c r="C2" s="75"/>
      <c r="D2" s="73"/>
      <c r="E2" s="75"/>
      <c r="F2" s="73"/>
      <c r="G2" s="75"/>
      <c r="H2" s="73"/>
      <c r="I2" s="75"/>
      <c r="J2" s="73"/>
      <c r="K2" s="75"/>
      <c r="L2" s="73"/>
      <c r="M2" s="71"/>
      <c r="N2" s="75"/>
    </row>
    <row r="3" spans="1:14" s="69" customFormat="1" x14ac:dyDescent="0.2">
      <c r="A3" s="78">
        <v>35947</v>
      </c>
      <c r="C3" s="77">
        <v>311374</v>
      </c>
      <c r="D3" s="79">
        <f>+C3/$N3</f>
        <v>0.25472662050008793</v>
      </c>
      <c r="E3" s="77">
        <v>120420</v>
      </c>
      <c r="F3" s="79">
        <f>+E3/$N3</f>
        <v>9.8512334493633349E-2</v>
      </c>
      <c r="G3" s="77">
        <v>702668</v>
      </c>
      <c r="H3" s="79">
        <f>+G3/$N3</f>
        <v>0.57483362443092811</v>
      </c>
      <c r="I3" s="77">
        <v>40121</v>
      </c>
      <c r="J3" s="79">
        <f>+I3/$N3</f>
        <v>3.2821901446761864E-2</v>
      </c>
      <c r="K3" s="77">
        <v>47802</v>
      </c>
      <c r="L3" s="79">
        <f>+K3/$N3</f>
        <v>3.9105519128588784E-2</v>
      </c>
      <c r="N3" s="77">
        <f>+C3+E3+G3+I3+K3</f>
        <v>1222385</v>
      </c>
    </row>
    <row r="4" spans="1:14" s="69" customFormat="1" x14ac:dyDescent="0.2">
      <c r="A4" s="78">
        <v>35977</v>
      </c>
      <c r="C4" s="77">
        <v>1155964</v>
      </c>
      <c r="D4" s="79">
        <f>+C4/$N4</f>
        <v>0.24363540638534331</v>
      </c>
      <c r="E4" s="77">
        <v>385685</v>
      </c>
      <c r="F4" s="79">
        <f>+E4/$N4</f>
        <v>8.1288449909972221E-2</v>
      </c>
      <c r="G4" s="77">
        <v>2673292</v>
      </c>
      <c r="H4" s="79">
        <f>+G4/$N4</f>
        <v>0.56343327543650767</v>
      </c>
      <c r="I4" s="77">
        <v>431345</v>
      </c>
      <c r="J4" s="79">
        <f>+I4/$N4</f>
        <v>9.0911926640696347E-2</v>
      </c>
      <c r="K4" s="77">
        <v>98361</v>
      </c>
      <c r="L4" s="79">
        <f>+K4/$N4</f>
        <v>2.07309416274804E-2</v>
      </c>
      <c r="N4" s="77">
        <f t="shared" ref="N4:N17" si="0">+C4+E4+G4+I4+K4</f>
        <v>4744647</v>
      </c>
    </row>
    <row r="5" spans="1:14" s="69" customFormat="1" x14ac:dyDescent="0.2">
      <c r="A5" s="78">
        <v>36008</v>
      </c>
      <c r="C5" s="77">
        <v>1141059</v>
      </c>
      <c r="D5" s="79">
        <f>+C5/$N5</f>
        <v>0.27188981049712041</v>
      </c>
      <c r="E5" s="77">
        <v>202887</v>
      </c>
      <c r="F5" s="79">
        <f>+E5/$N5</f>
        <v>4.8343607107370672E-2</v>
      </c>
      <c r="G5" s="77">
        <v>2845097</v>
      </c>
      <c r="H5" s="79">
        <f>+G5/$N5</f>
        <v>0.67792540453729888</v>
      </c>
      <c r="I5" s="77">
        <v>6485</v>
      </c>
      <c r="J5" s="79">
        <f>+I5/$N5</f>
        <v>1.5452359790982112E-3</v>
      </c>
      <c r="K5" s="77">
        <v>1242</v>
      </c>
      <c r="L5" s="79">
        <f>+K5/$N5</f>
        <v>2.959418791117931E-4</v>
      </c>
      <c r="N5" s="77">
        <f t="shared" si="0"/>
        <v>4196770</v>
      </c>
    </row>
    <row r="6" spans="1:14" s="69" customFormat="1" x14ac:dyDescent="0.2">
      <c r="A6" s="78">
        <v>36039</v>
      </c>
      <c r="C6" s="77">
        <v>525361</v>
      </c>
      <c r="D6" s="79">
        <f>+C6/$N6</f>
        <v>0.18603573185211364</v>
      </c>
      <c r="E6" s="77">
        <v>99543</v>
      </c>
      <c r="F6" s="79">
        <f>+E6/$N6</f>
        <v>3.5249199799290296E-2</v>
      </c>
      <c r="G6" s="77">
        <v>2199075</v>
      </c>
      <c r="H6" s="79">
        <f>+G6/$N6</f>
        <v>0.77871506834859605</v>
      </c>
      <c r="I6" s="77">
        <v>0</v>
      </c>
      <c r="J6" s="79">
        <f>+I6/$N6</f>
        <v>0</v>
      </c>
      <c r="K6" s="77">
        <v>0</v>
      </c>
      <c r="L6" s="79">
        <f>+K6/$N6</f>
        <v>0</v>
      </c>
      <c r="N6" s="77">
        <f t="shared" si="0"/>
        <v>2823979</v>
      </c>
    </row>
    <row r="7" spans="1:14" s="69" customFormat="1" x14ac:dyDescent="0.2">
      <c r="A7" s="78">
        <v>36069</v>
      </c>
      <c r="C7" s="77">
        <v>1277301</v>
      </c>
      <c r="D7" s="79">
        <f>+C7/$N7</f>
        <v>0.28058920831859691</v>
      </c>
      <c r="E7" s="77">
        <v>373759</v>
      </c>
      <c r="F7" s="79">
        <f>+E7/$N7</f>
        <v>8.2104955614965044E-2</v>
      </c>
      <c r="G7" s="77">
        <v>2275284</v>
      </c>
      <c r="H7" s="79">
        <f>+G7/$N7</f>
        <v>0.4998196480390843</v>
      </c>
      <c r="I7" s="77">
        <v>254112</v>
      </c>
      <c r="J7" s="79">
        <f>+I7/$N7</f>
        <v>5.5821677822420319E-2</v>
      </c>
      <c r="K7" s="77">
        <v>371754</v>
      </c>
      <c r="L7" s="79">
        <f>+K7/$N7</f>
        <v>8.1664510204933427E-2</v>
      </c>
      <c r="N7" s="77">
        <f t="shared" si="0"/>
        <v>4552210</v>
      </c>
    </row>
    <row r="8" spans="1:14" s="69" customFormat="1" x14ac:dyDescent="0.2">
      <c r="A8" s="78"/>
      <c r="C8" s="77"/>
      <c r="D8" s="79"/>
      <c r="E8" s="77"/>
      <c r="F8" s="79"/>
      <c r="G8" s="77"/>
      <c r="H8" s="79"/>
      <c r="I8" s="77"/>
      <c r="J8" s="79"/>
      <c r="K8" s="77"/>
      <c r="L8" s="79"/>
      <c r="N8" s="77"/>
    </row>
    <row r="9" spans="1:14" s="69" customFormat="1" x14ac:dyDescent="0.2">
      <c r="A9" s="78">
        <v>36100</v>
      </c>
      <c r="C9" s="77">
        <v>224461</v>
      </c>
      <c r="D9" s="79">
        <f>+C9/$N9</f>
        <v>0.16818534322889545</v>
      </c>
      <c r="E9" s="77">
        <v>97886</v>
      </c>
      <c r="F9" s="79">
        <f>+E9/$N9</f>
        <v>7.3344547637690549E-2</v>
      </c>
      <c r="G9" s="77">
        <v>1010844</v>
      </c>
      <c r="H9" s="79">
        <f>+G9/$N9</f>
        <v>0.757410619621536</v>
      </c>
      <c r="I9" s="77"/>
      <c r="J9" s="79">
        <f>+I9/$N9</f>
        <v>0</v>
      </c>
      <c r="K9" s="77">
        <v>1414</v>
      </c>
      <c r="L9" s="79">
        <f>+K9/$N9</f>
        <v>1.0594895118780463E-3</v>
      </c>
      <c r="N9" s="77">
        <f t="shared" si="0"/>
        <v>1334605</v>
      </c>
    </row>
    <row r="10" spans="1:14" s="69" customFormat="1" x14ac:dyDescent="0.2">
      <c r="A10" s="78">
        <v>36130</v>
      </c>
      <c r="C10" s="77">
        <v>97956</v>
      </c>
      <c r="D10" s="79">
        <f>+C10/$N10</f>
        <v>7.1753543323813174E-2</v>
      </c>
      <c r="E10" s="77">
        <v>26736</v>
      </c>
      <c r="F10" s="79">
        <f>+E10/$N10</f>
        <v>1.9584331070128108E-2</v>
      </c>
      <c r="G10" s="77">
        <v>1229824</v>
      </c>
      <c r="H10" s="79">
        <f>+G10/$N10</f>
        <v>0.90085578897326568</v>
      </c>
      <c r="I10" s="77">
        <v>5480</v>
      </c>
      <c r="J10" s="79">
        <f>+I10/$N10</f>
        <v>4.0141432624290112E-3</v>
      </c>
      <c r="K10" s="77">
        <v>5177</v>
      </c>
      <c r="L10" s="79">
        <f>+K10/$N10</f>
        <v>3.792193370364049E-3</v>
      </c>
      <c r="N10" s="77">
        <f t="shared" si="0"/>
        <v>1365173</v>
      </c>
    </row>
    <row r="11" spans="1:14" s="69" customFormat="1" x14ac:dyDescent="0.2">
      <c r="A11" s="78">
        <v>36161</v>
      </c>
      <c r="C11" s="77">
        <v>199321</v>
      </c>
      <c r="D11" s="79">
        <f>+C11/$N11</f>
        <v>0.14131540643573165</v>
      </c>
      <c r="E11" s="77">
        <v>82543</v>
      </c>
      <c r="F11" s="79">
        <f>+E11/$N11</f>
        <v>5.8521669033491694E-2</v>
      </c>
      <c r="G11" s="77">
        <v>1107978</v>
      </c>
      <c r="H11" s="79">
        <f>+G11/$N11</f>
        <v>0.78553871088269223</v>
      </c>
      <c r="I11" s="77">
        <v>12918</v>
      </c>
      <c r="J11" s="79">
        <f>+I11/$N11</f>
        <v>9.1586557379141273E-3</v>
      </c>
      <c r="K11" s="77">
        <v>7709</v>
      </c>
      <c r="L11" s="79">
        <f>+K11/$N11</f>
        <v>5.4655579101703048E-3</v>
      </c>
      <c r="N11" s="77">
        <f t="shared" si="0"/>
        <v>1410469</v>
      </c>
    </row>
    <row r="12" spans="1:14" s="69" customFormat="1" x14ac:dyDescent="0.2">
      <c r="A12" s="78">
        <v>36192</v>
      </c>
      <c r="C12" s="77">
        <v>146406</v>
      </c>
      <c r="D12" s="79">
        <f>+C12/$N12</f>
        <v>0.1258914798005768</v>
      </c>
      <c r="E12" s="77">
        <v>294598</v>
      </c>
      <c r="F12" s="79">
        <f>+E12/$N12</f>
        <v>0.2533187039212213</v>
      </c>
      <c r="G12" s="77">
        <v>622978</v>
      </c>
      <c r="H12" s="79">
        <f>+G12/$N12</f>
        <v>0.53568584827946764</v>
      </c>
      <c r="I12" s="77">
        <v>76585</v>
      </c>
      <c r="J12" s="79">
        <f>+I12/$N12</f>
        <v>6.5853851485097439E-2</v>
      </c>
      <c r="K12" s="77">
        <v>22387</v>
      </c>
      <c r="L12" s="79">
        <f>+K12/$N12</f>
        <v>1.9250116513636825E-2</v>
      </c>
      <c r="N12" s="77">
        <f t="shared" si="0"/>
        <v>1162954</v>
      </c>
    </row>
    <row r="13" spans="1:14" s="69" customFormat="1" x14ac:dyDescent="0.2">
      <c r="A13" s="78"/>
      <c r="C13" s="77"/>
      <c r="D13" s="79"/>
      <c r="E13" s="77"/>
      <c r="F13" s="79"/>
      <c r="G13" s="77"/>
      <c r="H13" s="79"/>
      <c r="I13" s="77"/>
      <c r="J13" s="79"/>
      <c r="K13" s="77"/>
      <c r="L13" s="79"/>
      <c r="N13" s="77"/>
    </row>
    <row r="14" spans="1:14" s="69" customFormat="1" x14ac:dyDescent="0.2">
      <c r="A14" s="78">
        <v>36220</v>
      </c>
      <c r="C14" s="77">
        <v>953465</v>
      </c>
      <c r="D14" s="79">
        <f>+C14/$N14</f>
        <v>0.59551960446303209</v>
      </c>
      <c r="E14" s="77">
        <v>228319</v>
      </c>
      <c r="F14" s="79">
        <f>+E14/$N14</f>
        <v>0.14260454297891903</v>
      </c>
      <c r="G14" s="77">
        <v>414672</v>
      </c>
      <c r="H14" s="79">
        <f>+G14/$N14</f>
        <v>0.25899776648528727</v>
      </c>
      <c r="I14" s="77">
        <v>4608</v>
      </c>
      <c r="J14" s="79">
        <f>+I14/$N14</f>
        <v>2.8780860727616133E-3</v>
      </c>
      <c r="K14" s="77">
        <v>0</v>
      </c>
      <c r="L14" s="79">
        <f>+K14/$N14</f>
        <v>0</v>
      </c>
      <c r="N14" s="77">
        <f t="shared" si="0"/>
        <v>1601064</v>
      </c>
    </row>
    <row r="15" spans="1:14" s="69" customFormat="1" x14ac:dyDescent="0.2">
      <c r="A15" s="78">
        <v>36251</v>
      </c>
      <c r="C15" s="77">
        <v>1089146</v>
      </c>
      <c r="D15" s="79">
        <f>+C15/$N15</f>
        <v>0.74898017566010078</v>
      </c>
      <c r="E15" s="77">
        <v>62613</v>
      </c>
      <c r="F15" s="79">
        <f>+E15/$N15</f>
        <v>4.305749251120225E-2</v>
      </c>
      <c r="G15" s="77">
        <v>233440</v>
      </c>
      <c r="H15" s="79">
        <f>+G15/$N15</f>
        <v>0.16053121638980808</v>
      </c>
      <c r="I15" s="77">
        <v>39610</v>
      </c>
      <c r="J15" s="79">
        <f>+I15/$N15</f>
        <v>2.7238868579507788E-2</v>
      </c>
      <c r="K15" s="77">
        <v>29363</v>
      </c>
      <c r="L15" s="79">
        <f>+K15/$N15</f>
        <v>2.0192246859381147E-2</v>
      </c>
      <c r="N15" s="77">
        <f t="shared" si="0"/>
        <v>1454172</v>
      </c>
    </row>
    <row r="16" spans="1:14" s="69" customFormat="1" x14ac:dyDescent="0.2">
      <c r="A16" s="78">
        <v>36281</v>
      </c>
      <c r="C16" s="77">
        <v>1285236</v>
      </c>
      <c r="D16" s="79">
        <f>+C16/$N16</f>
        <v>0.58989008487349759</v>
      </c>
      <c r="E16" s="77">
        <v>45372</v>
      </c>
      <c r="F16" s="79">
        <f>+E16/$N16</f>
        <v>2.0824574576871743E-2</v>
      </c>
      <c r="G16" s="77">
        <v>791650</v>
      </c>
      <c r="H16" s="79">
        <f>+G16/$N16</f>
        <v>0.36334687613022382</v>
      </c>
      <c r="I16" s="77">
        <v>28581</v>
      </c>
      <c r="J16" s="79">
        <f>+I16/$N16</f>
        <v>1.3117939830326442E-2</v>
      </c>
      <c r="K16" s="77">
        <v>27933</v>
      </c>
      <c r="L16" s="79">
        <f>+K16/$N16</f>
        <v>1.2820524589080454E-2</v>
      </c>
      <c r="N16" s="77">
        <f t="shared" si="0"/>
        <v>2178772</v>
      </c>
    </row>
    <row r="17" spans="1:14" s="69" customFormat="1" x14ac:dyDescent="0.2">
      <c r="A17" s="78">
        <v>36312</v>
      </c>
      <c r="C17" s="80">
        <v>1296699</v>
      </c>
      <c r="D17" s="79">
        <f>+C17/$N17</f>
        <v>0.58752641537474493</v>
      </c>
      <c r="E17" s="80">
        <v>17717</v>
      </c>
      <c r="F17" s="79">
        <f>+E17/$N17</f>
        <v>8.0274647402322017E-3</v>
      </c>
      <c r="G17" s="80">
        <v>778530</v>
      </c>
      <c r="H17" s="79">
        <f>+G17/$N17</f>
        <v>0.35274719897347045</v>
      </c>
      <c r="I17" s="80">
        <v>48556</v>
      </c>
      <c r="J17" s="79">
        <f>+I17/$N17</f>
        <v>2.2000427720647669E-2</v>
      </c>
      <c r="K17" s="80">
        <v>65546</v>
      </c>
      <c r="L17" s="79">
        <f>+K17/$N17</f>
        <v>2.9698493190904774E-2</v>
      </c>
      <c r="N17" s="80">
        <f t="shared" si="0"/>
        <v>2207048</v>
      </c>
    </row>
    <row r="18" spans="1:14" x14ac:dyDescent="0.2">
      <c r="A18" s="78"/>
    </row>
    <row r="19" spans="1:14" x14ac:dyDescent="0.2">
      <c r="A19" s="81" t="s">
        <v>74</v>
      </c>
      <c r="B19" s="82"/>
      <c r="C19" s="83">
        <f>SUM(C3:C17)</f>
        <v>9703749</v>
      </c>
      <c r="D19" s="84">
        <f>+C19/$N19</f>
        <v>0.32074004946346707</v>
      </c>
      <c r="E19" s="83">
        <f>SUM(E3:E17)</f>
        <v>2038078</v>
      </c>
      <c r="F19" s="84">
        <f>+E19/$N19</f>
        <v>6.7365019285886729E-2</v>
      </c>
      <c r="G19" s="83">
        <f>SUM(G3:G17)</f>
        <v>16885332</v>
      </c>
      <c r="H19" s="84">
        <f>+G19/$N19</f>
        <v>0.55811441751915303</v>
      </c>
      <c r="I19" s="83">
        <f>SUM(I3:I17)</f>
        <v>948401</v>
      </c>
      <c r="J19" s="84">
        <f>+I19/$N19</f>
        <v>3.1347697024232762E-2</v>
      </c>
      <c r="K19" s="83">
        <f>SUM(K3:K17)</f>
        <v>678688</v>
      </c>
      <c r="L19" s="84">
        <f>+K19/$N19</f>
        <v>2.2432816707260415E-2</v>
      </c>
      <c r="M19" s="82"/>
      <c r="N19" s="85">
        <f>SUM(N3:N17)</f>
        <v>30254248</v>
      </c>
    </row>
    <row r="20" spans="1:14" x14ac:dyDescent="0.2">
      <c r="A20" s="86"/>
      <c r="B20" s="87"/>
      <c r="C20" s="87"/>
      <c r="D20" s="87"/>
      <c r="E20" s="87"/>
      <c r="F20" s="87"/>
      <c r="G20" s="87"/>
      <c r="H20" s="88"/>
      <c r="I20" s="89"/>
      <c r="J20" s="88"/>
      <c r="K20" s="89"/>
      <c r="L20" s="88"/>
      <c r="M20" s="87"/>
      <c r="N20" s="90">
        <f>+N19/13</f>
        <v>2327249.846153846</v>
      </c>
    </row>
    <row r="21" spans="1:14" x14ac:dyDescent="0.2">
      <c r="A21" s="91" t="s">
        <v>72</v>
      </c>
      <c r="B21" s="87"/>
      <c r="C21" s="89">
        <f>MAX(C3:C17)</f>
        <v>1296699</v>
      </c>
      <c r="D21" s="92">
        <f t="shared" ref="D21:L21" si="1">MAX(D3:D17)</f>
        <v>0.74898017566010078</v>
      </c>
      <c r="E21" s="89">
        <f t="shared" si="1"/>
        <v>385685</v>
      </c>
      <c r="F21" s="92">
        <f t="shared" si="1"/>
        <v>0.2533187039212213</v>
      </c>
      <c r="G21" s="89">
        <f t="shared" si="1"/>
        <v>2845097</v>
      </c>
      <c r="H21" s="92">
        <f t="shared" si="1"/>
        <v>0.90085578897326568</v>
      </c>
      <c r="I21" s="89">
        <f t="shared" si="1"/>
        <v>431345</v>
      </c>
      <c r="J21" s="92">
        <f t="shared" si="1"/>
        <v>9.0911926640696347E-2</v>
      </c>
      <c r="K21" s="89">
        <f t="shared" si="1"/>
        <v>371754</v>
      </c>
      <c r="L21" s="92">
        <f t="shared" si="1"/>
        <v>8.1664510204933427E-2</v>
      </c>
      <c r="M21" s="87"/>
      <c r="N21" s="90"/>
    </row>
    <row r="22" spans="1:14" x14ac:dyDescent="0.2">
      <c r="A22" s="93" t="s">
        <v>73</v>
      </c>
      <c r="B22" s="94"/>
      <c r="C22" s="95">
        <f>MIN(C3:C17)</f>
        <v>97956</v>
      </c>
      <c r="D22" s="96">
        <f t="shared" ref="D22:L22" si="2">MIN(D3:D17)</f>
        <v>7.1753543323813174E-2</v>
      </c>
      <c r="E22" s="95">
        <f t="shared" si="2"/>
        <v>17717</v>
      </c>
      <c r="F22" s="96">
        <f t="shared" si="2"/>
        <v>8.0274647402322017E-3</v>
      </c>
      <c r="G22" s="95">
        <f t="shared" si="2"/>
        <v>233440</v>
      </c>
      <c r="H22" s="96">
        <f t="shared" si="2"/>
        <v>0.16053121638980808</v>
      </c>
      <c r="I22" s="95">
        <f t="shared" si="2"/>
        <v>0</v>
      </c>
      <c r="J22" s="96">
        <f t="shared" si="2"/>
        <v>0</v>
      </c>
      <c r="K22" s="95">
        <f t="shared" si="2"/>
        <v>0</v>
      </c>
      <c r="L22" s="96">
        <f t="shared" si="2"/>
        <v>0</v>
      </c>
      <c r="M22" s="94"/>
      <c r="N22" s="97"/>
    </row>
    <row r="23" spans="1:14" x14ac:dyDescent="0.2">
      <c r="A23" s="78"/>
    </row>
    <row r="24" spans="1:14" x14ac:dyDescent="0.2">
      <c r="A24" s="193" t="s">
        <v>103</v>
      </c>
      <c r="B24" s="194"/>
      <c r="C24" s="195">
        <f>+SUM(C3:C6)+SUM(C16:C17)</f>
        <v>5715693</v>
      </c>
      <c r="D24" s="196">
        <f>+C24/$N$24</f>
        <v>0.3289872375911016</v>
      </c>
      <c r="E24" s="195">
        <f>+SUM(E3:E6)+SUM(E16:E17)</f>
        <v>871624</v>
      </c>
      <c r="F24" s="196">
        <f>+E24/$N$24</f>
        <v>5.0169449614964681E-2</v>
      </c>
      <c r="G24" s="195">
        <f>+SUM(G3:G6)+SUM(G16:G17)</f>
        <v>9990312</v>
      </c>
      <c r="H24" s="196">
        <f>+G24/$N$24</f>
        <v>0.57502828573074749</v>
      </c>
      <c r="I24" s="195">
        <f>+SUM(I3:I6)+SUM(I16:I17)</f>
        <v>555088</v>
      </c>
      <c r="J24" s="196">
        <f>+I24/$N$24</f>
        <v>3.1950083347718185E-2</v>
      </c>
      <c r="K24" s="195">
        <f>+SUM(K3:K6)+SUM(K16:K17)</f>
        <v>240884</v>
      </c>
      <c r="L24" s="196">
        <f>+K24/$N$24</f>
        <v>1.3864943715468083E-2</v>
      </c>
      <c r="M24" s="194"/>
      <c r="N24" s="197">
        <f>+SUM(N3:N6)+SUM(N16:N17)</f>
        <v>17373601</v>
      </c>
    </row>
    <row r="25" spans="1:14" x14ac:dyDescent="0.2">
      <c r="A25" s="78"/>
      <c r="C25" s="77">
        <f>+C24/6</f>
        <v>952615.5</v>
      </c>
      <c r="D25"/>
      <c r="F25"/>
      <c r="G25"/>
      <c r="H25"/>
      <c r="I25"/>
      <c r="J25"/>
      <c r="K25"/>
      <c r="L25"/>
      <c r="N25"/>
    </row>
    <row r="26" spans="1:14" x14ac:dyDescent="0.2">
      <c r="A26" s="78"/>
    </row>
    <row r="27" spans="1:14" x14ac:dyDescent="0.2">
      <c r="A27" s="78"/>
    </row>
    <row r="28" spans="1:14" x14ac:dyDescent="0.2">
      <c r="A28" s="78"/>
    </row>
    <row r="29" spans="1:14" x14ac:dyDescent="0.2">
      <c r="A29" s="78"/>
    </row>
    <row r="30" spans="1:14" x14ac:dyDescent="0.2">
      <c r="A30" s="78"/>
    </row>
    <row r="31" spans="1:14" x14ac:dyDescent="0.2">
      <c r="A31" s="78"/>
    </row>
    <row r="32" spans="1:14" x14ac:dyDescent="0.2">
      <c r="A32" s="78"/>
    </row>
    <row r="33" spans="1:1" x14ac:dyDescent="0.2">
      <c r="A33" s="78"/>
    </row>
    <row r="34" spans="1:1" x14ac:dyDescent="0.2">
      <c r="A34" s="78"/>
    </row>
    <row r="35" spans="1:1" x14ac:dyDescent="0.2">
      <c r="A35" s="78"/>
    </row>
    <row r="36" spans="1:1" x14ac:dyDescent="0.2">
      <c r="A36" s="78"/>
    </row>
    <row r="37" spans="1:1" x14ac:dyDescent="0.2">
      <c r="A37" s="78"/>
    </row>
    <row r="38" spans="1:1" x14ac:dyDescent="0.2">
      <c r="A38" s="78"/>
    </row>
    <row r="39" spans="1:1" x14ac:dyDescent="0.2">
      <c r="A39" s="78"/>
    </row>
    <row r="40" spans="1:1" x14ac:dyDescent="0.2">
      <c r="A40" s="78"/>
    </row>
    <row r="41" spans="1:1" x14ac:dyDescent="0.2">
      <c r="A41" s="78"/>
    </row>
    <row r="42" spans="1:1" x14ac:dyDescent="0.2">
      <c r="A42" s="78"/>
    </row>
    <row r="43" spans="1:1" x14ac:dyDescent="0.2">
      <c r="A43" s="78"/>
    </row>
    <row r="44" spans="1:1" x14ac:dyDescent="0.2">
      <c r="A44" s="78"/>
    </row>
    <row r="45" spans="1:1" x14ac:dyDescent="0.2">
      <c r="A45" s="78"/>
    </row>
    <row r="46" spans="1:1" x14ac:dyDescent="0.2">
      <c r="A46" s="78"/>
    </row>
    <row r="47" spans="1:1" x14ac:dyDescent="0.2">
      <c r="A47" s="78"/>
    </row>
    <row r="48" spans="1:1" x14ac:dyDescent="0.2">
      <c r="A48" s="78"/>
    </row>
    <row r="49" spans="1:1" x14ac:dyDescent="0.2">
      <c r="A49" s="78"/>
    </row>
    <row r="50" spans="1:1" x14ac:dyDescent="0.2">
      <c r="A50" s="78"/>
    </row>
    <row r="51" spans="1:1" x14ac:dyDescent="0.2">
      <c r="A51" s="78"/>
    </row>
    <row r="52" spans="1:1" x14ac:dyDescent="0.2">
      <c r="A52" s="78"/>
    </row>
    <row r="53" spans="1:1" x14ac:dyDescent="0.2">
      <c r="A53" s="78"/>
    </row>
    <row r="54" spans="1:1" x14ac:dyDescent="0.2">
      <c r="A54" s="78"/>
    </row>
    <row r="55" spans="1:1" x14ac:dyDescent="0.2">
      <c r="A55" s="78"/>
    </row>
    <row r="56" spans="1:1" x14ac:dyDescent="0.2">
      <c r="A56" s="78"/>
    </row>
    <row r="57" spans="1:1" x14ac:dyDescent="0.2">
      <c r="A57" s="78"/>
    </row>
    <row r="58" spans="1:1" x14ac:dyDescent="0.2">
      <c r="A58" s="78"/>
    </row>
    <row r="59" spans="1:1" x14ac:dyDescent="0.2">
      <c r="A59" s="78"/>
    </row>
    <row r="60" spans="1:1" x14ac:dyDescent="0.2">
      <c r="A60" s="78"/>
    </row>
    <row r="61" spans="1:1" x14ac:dyDescent="0.2">
      <c r="A61" s="78"/>
    </row>
    <row r="62" spans="1:1" x14ac:dyDescent="0.2">
      <c r="A62" s="78"/>
    </row>
    <row r="63" spans="1:1" x14ac:dyDescent="0.2">
      <c r="A63" s="78"/>
    </row>
    <row r="64" spans="1:1" x14ac:dyDescent="0.2">
      <c r="A64" s="78"/>
    </row>
    <row r="65" spans="1:1" x14ac:dyDescent="0.2">
      <c r="A65" s="78"/>
    </row>
    <row r="66" spans="1:1" x14ac:dyDescent="0.2">
      <c r="A66" s="78"/>
    </row>
    <row r="67" spans="1:1" x14ac:dyDescent="0.2">
      <c r="A67" s="78"/>
    </row>
    <row r="68" spans="1:1" x14ac:dyDescent="0.2">
      <c r="A68" s="78"/>
    </row>
    <row r="69" spans="1:1" x14ac:dyDescent="0.2">
      <c r="A69" s="78"/>
    </row>
    <row r="70" spans="1:1" x14ac:dyDescent="0.2">
      <c r="A70" s="78"/>
    </row>
    <row r="71" spans="1:1" x14ac:dyDescent="0.2">
      <c r="A71" s="78"/>
    </row>
    <row r="72" spans="1:1" x14ac:dyDescent="0.2">
      <c r="A72" s="78"/>
    </row>
    <row r="73" spans="1:1" x14ac:dyDescent="0.2">
      <c r="A73" s="78"/>
    </row>
    <row r="74" spans="1:1" x14ac:dyDescent="0.2">
      <c r="A74" s="78"/>
    </row>
    <row r="75" spans="1:1" x14ac:dyDescent="0.2">
      <c r="A75" s="78"/>
    </row>
    <row r="76" spans="1:1" x14ac:dyDescent="0.2">
      <c r="A76" s="78"/>
    </row>
    <row r="77" spans="1:1" x14ac:dyDescent="0.2">
      <c r="A77" s="78"/>
    </row>
    <row r="78" spans="1:1" x14ac:dyDescent="0.2">
      <c r="A78" s="78"/>
    </row>
    <row r="79" spans="1:1" x14ac:dyDescent="0.2">
      <c r="A79" s="78"/>
    </row>
    <row r="80" spans="1:1" x14ac:dyDescent="0.2">
      <c r="A80" s="78"/>
    </row>
    <row r="81" spans="1:1" x14ac:dyDescent="0.2">
      <c r="A81" s="78"/>
    </row>
    <row r="82" spans="1:1" x14ac:dyDescent="0.2">
      <c r="A82" s="78"/>
    </row>
    <row r="83" spans="1:1" x14ac:dyDescent="0.2">
      <c r="A83" s="78"/>
    </row>
    <row r="84" spans="1:1" x14ac:dyDescent="0.2">
      <c r="A84" s="78"/>
    </row>
    <row r="85" spans="1:1" x14ac:dyDescent="0.2">
      <c r="A85" s="78"/>
    </row>
    <row r="86" spans="1:1" x14ac:dyDescent="0.2">
      <c r="A86" s="78"/>
    </row>
    <row r="87" spans="1:1" x14ac:dyDescent="0.2">
      <c r="A87" s="78"/>
    </row>
    <row r="88" spans="1:1" x14ac:dyDescent="0.2">
      <c r="A88" s="78"/>
    </row>
    <row r="89" spans="1:1" x14ac:dyDescent="0.2">
      <c r="A89" s="78"/>
    </row>
    <row r="90" spans="1:1" x14ac:dyDescent="0.2">
      <c r="A90" s="78"/>
    </row>
    <row r="91" spans="1:1" x14ac:dyDescent="0.2">
      <c r="A91" s="78"/>
    </row>
    <row r="92" spans="1:1" x14ac:dyDescent="0.2">
      <c r="A92" s="78"/>
    </row>
    <row r="93" spans="1:1" x14ac:dyDescent="0.2">
      <c r="A93" s="78"/>
    </row>
    <row r="94" spans="1:1" x14ac:dyDescent="0.2">
      <c r="A94" s="78"/>
    </row>
    <row r="95" spans="1:1" x14ac:dyDescent="0.2">
      <c r="A95" s="78"/>
    </row>
    <row r="96" spans="1:1" x14ac:dyDescent="0.2">
      <c r="A96" s="78"/>
    </row>
    <row r="97" spans="1:1" x14ac:dyDescent="0.2">
      <c r="A97" s="78"/>
    </row>
    <row r="98" spans="1:1" x14ac:dyDescent="0.2">
      <c r="A98" s="78"/>
    </row>
    <row r="99" spans="1:1" x14ac:dyDescent="0.2">
      <c r="A99" s="78"/>
    </row>
    <row r="100" spans="1:1" x14ac:dyDescent="0.2">
      <c r="A100" s="78"/>
    </row>
    <row r="101" spans="1:1" x14ac:dyDescent="0.2">
      <c r="A101" s="78"/>
    </row>
    <row r="102" spans="1:1" x14ac:dyDescent="0.2">
      <c r="A102" s="78"/>
    </row>
    <row r="103" spans="1:1" x14ac:dyDescent="0.2">
      <c r="A103" s="78"/>
    </row>
    <row r="104" spans="1:1" x14ac:dyDescent="0.2">
      <c r="A104" s="78"/>
    </row>
    <row r="105" spans="1:1" x14ac:dyDescent="0.2">
      <c r="A105" s="78"/>
    </row>
    <row r="106" spans="1:1" x14ac:dyDescent="0.2">
      <c r="A106" s="78"/>
    </row>
    <row r="107" spans="1:1" x14ac:dyDescent="0.2">
      <c r="A107" s="78"/>
    </row>
    <row r="108" spans="1:1" x14ac:dyDescent="0.2">
      <c r="A108" s="78"/>
    </row>
    <row r="109" spans="1:1" x14ac:dyDescent="0.2">
      <c r="A109" s="78"/>
    </row>
    <row r="110" spans="1:1" x14ac:dyDescent="0.2">
      <c r="A110" s="78"/>
    </row>
    <row r="111" spans="1:1" x14ac:dyDescent="0.2">
      <c r="A111" s="78"/>
    </row>
    <row r="112" spans="1:1" x14ac:dyDescent="0.2">
      <c r="A112" s="78"/>
    </row>
    <row r="113" spans="1:1" x14ac:dyDescent="0.2">
      <c r="A113" s="78"/>
    </row>
    <row r="114" spans="1:1" x14ac:dyDescent="0.2">
      <c r="A114" s="78"/>
    </row>
    <row r="115" spans="1:1" x14ac:dyDescent="0.2">
      <c r="A115" s="78"/>
    </row>
    <row r="116" spans="1:1" x14ac:dyDescent="0.2">
      <c r="A116" s="78"/>
    </row>
    <row r="117" spans="1:1" x14ac:dyDescent="0.2">
      <c r="A117" s="78"/>
    </row>
    <row r="118" spans="1:1" x14ac:dyDescent="0.2">
      <c r="A118" s="78"/>
    </row>
    <row r="119" spans="1:1" x14ac:dyDescent="0.2">
      <c r="A119" s="78"/>
    </row>
    <row r="120" spans="1:1" x14ac:dyDescent="0.2">
      <c r="A120" s="78"/>
    </row>
    <row r="121" spans="1:1" x14ac:dyDescent="0.2">
      <c r="A121" s="78"/>
    </row>
    <row r="122" spans="1:1" x14ac:dyDescent="0.2">
      <c r="A122" s="78"/>
    </row>
    <row r="123" spans="1:1" x14ac:dyDescent="0.2">
      <c r="A123" s="78"/>
    </row>
    <row r="124" spans="1:1" x14ac:dyDescent="0.2">
      <c r="A124" s="78"/>
    </row>
    <row r="125" spans="1:1" x14ac:dyDescent="0.2">
      <c r="A125" s="78"/>
    </row>
    <row r="126" spans="1:1" x14ac:dyDescent="0.2">
      <c r="A126" s="78"/>
    </row>
    <row r="127" spans="1:1" x14ac:dyDescent="0.2">
      <c r="A127" s="78"/>
    </row>
    <row r="128" spans="1:1" x14ac:dyDescent="0.2">
      <c r="A128" s="78"/>
    </row>
    <row r="129" spans="1:1" x14ac:dyDescent="0.2">
      <c r="A129" s="78"/>
    </row>
    <row r="130" spans="1:1" x14ac:dyDescent="0.2">
      <c r="A130" s="78"/>
    </row>
    <row r="131" spans="1:1" x14ac:dyDescent="0.2">
      <c r="A131" s="78"/>
    </row>
    <row r="132" spans="1:1" x14ac:dyDescent="0.2">
      <c r="A132" s="78"/>
    </row>
    <row r="133" spans="1:1" x14ac:dyDescent="0.2">
      <c r="A133" s="78"/>
    </row>
    <row r="134" spans="1:1" x14ac:dyDescent="0.2">
      <c r="A134" s="78"/>
    </row>
    <row r="135" spans="1:1" x14ac:dyDescent="0.2">
      <c r="A135" s="78"/>
    </row>
    <row r="136" spans="1:1" x14ac:dyDescent="0.2">
      <c r="A136" s="78"/>
    </row>
    <row r="137" spans="1:1" x14ac:dyDescent="0.2">
      <c r="A137" s="78"/>
    </row>
    <row r="138" spans="1:1" x14ac:dyDescent="0.2">
      <c r="A138" s="78"/>
    </row>
    <row r="139" spans="1:1" x14ac:dyDescent="0.2">
      <c r="A139" s="78"/>
    </row>
    <row r="140" spans="1:1" x14ac:dyDescent="0.2">
      <c r="A140" s="78"/>
    </row>
    <row r="141" spans="1:1" x14ac:dyDescent="0.2">
      <c r="A141" s="78"/>
    </row>
    <row r="142" spans="1:1" x14ac:dyDescent="0.2">
      <c r="A142" s="78"/>
    </row>
    <row r="143" spans="1:1" x14ac:dyDescent="0.2">
      <c r="A143" s="78"/>
    </row>
    <row r="144" spans="1:1" x14ac:dyDescent="0.2">
      <c r="A144" s="78"/>
    </row>
    <row r="145" spans="1:1" x14ac:dyDescent="0.2">
      <c r="A145" s="78"/>
    </row>
    <row r="146" spans="1:1" x14ac:dyDescent="0.2">
      <c r="A146" s="78"/>
    </row>
    <row r="147" spans="1:1" x14ac:dyDescent="0.2">
      <c r="A147" s="78"/>
    </row>
    <row r="148" spans="1:1" x14ac:dyDescent="0.2">
      <c r="A148" s="78"/>
    </row>
    <row r="149" spans="1:1" x14ac:dyDescent="0.2">
      <c r="A149" s="78"/>
    </row>
    <row r="150" spans="1:1" x14ac:dyDescent="0.2">
      <c r="A150" s="78"/>
    </row>
    <row r="151" spans="1:1" x14ac:dyDescent="0.2">
      <c r="A151" s="78"/>
    </row>
    <row r="152" spans="1:1" x14ac:dyDescent="0.2">
      <c r="A152" s="78"/>
    </row>
    <row r="153" spans="1:1" x14ac:dyDescent="0.2">
      <c r="A153" s="78"/>
    </row>
    <row r="154" spans="1:1" x14ac:dyDescent="0.2">
      <c r="A154" s="78"/>
    </row>
    <row r="155" spans="1:1" x14ac:dyDescent="0.2">
      <c r="A155" s="78"/>
    </row>
    <row r="156" spans="1:1" x14ac:dyDescent="0.2">
      <c r="A156" s="78"/>
    </row>
    <row r="157" spans="1:1" x14ac:dyDescent="0.2">
      <c r="A157" s="78"/>
    </row>
    <row r="158" spans="1:1" x14ac:dyDescent="0.2">
      <c r="A158" s="78"/>
    </row>
    <row r="159" spans="1:1" x14ac:dyDescent="0.2">
      <c r="A159" s="78"/>
    </row>
    <row r="160" spans="1:1" x14ac:dyDescent="0.2">
      <c r="A160" s="78"/>
    </row>
    <row r="161" spans="1:1" x14ac:dyDescent="0.2">
      <c r="A161" s="78"/>
    </row>
    <row r="162" spans="1:1" x14ac:dyDescent="0.2">
      <c r="A162" s="78"/>
    </row>
    <row r="163" spans="1:1" x14ac:dyDescent="0.2">
      <c r="A163" s="78"/>
    </row>
    <row r="164" spans="1:1" x14ac:dyDescent="0.2">
      <c r="A164" s="78"/>
    </row>
    <row r="165" spans="1:1" x14ac:dyDescent="0.2">
      <c r="A165" s="78"/>
    </row>
    <row r="166" spans="1:1" x14ac:dyDescent="0.2">
      <c r="A166" s="78"/>
    </row>
    <row r="167" spans="1:1" x14ac:dyDescent="0.2">
      <c r="A167" s="78"/>
    </row>
    <row r="168" spans="1:1" x14ac:dyDescent="0.2">
      <c r="A168" s="78"/>
    </row>
    <row r="169" spans="1:1" x14ac:dyDescent="0.2">
      <c r="A169" s="78"/>
    </row>
    <row r="170" spans="1:1" x14ac:dyDescent="0.2">
      <c r="A170" s="78"/>
    </row>
    <row r="171" spans="1:1" x14ac:dyDescent="0.2">
      <c r="A171" s="78"/>
    </row>
    <row r="172" spans="1:1" x14ac:dyDescent="0.2">
      <c r="A172" s="78"/>
    </row>
    <row r="173" spans="1:1" x14ac:dyDescent="0.2">
      <c r="A173" s="78"/>
    </row>
    <row r="174" spans="1:1" x14ac:dyDescent="0.2">
      <c r="A174" s="78"/>
    </row>
    <row r="175" spans="1:1" x14ac:dyDescent="0.2">
      <c r="A175" s="78"/>
    </row>
    <row r="176" spans="1:1" x14ac:dyDescent="0.2">
      <c r="A176" s="78"/>
    </row>
    <row r="177" spans="1:1" x14ac:dyDescent="0.2">
      <c r="A177" s="78"/>
    </row>
    <row r="178" spans="1:1" x14ac:dyDescent="0.2">
      <c r="A178" s="78"/>
    </row>
    <row r="179" spans="1:1" x14ac:dyDescent="0.2">
      <c r="A179" s="78"/>
    </row>
    <row r="180" spans="1:1" x14ac:dyDescent="0.2">
      <c r="A180" s="78"/>
    </row>
    <row r="181" spans="1:1" x14ac:dyDescent="0.2">
      <c r="A181" s="78"/>
    </row>
    <row r="182" spans="1:1" x14ac:dyDescent="0.2">
      <c r="A182" s="78"/>
    </row>
    <row r="183" spans="1:1" x14ac:dyDescent="0.2">
      <c r="A183" s="78"/>
    </row>
    <row r="184" spans="1:1" x14ac:dyDescent="0.2">
      <c r="A184" s="78"/>
    </row>
    <row r="185" spans="1:1" x14ac:dyDescent="0.2">
      <c r="A185" s="78"/>
    </row>
    <row r="186" spans="1:1" x14ac:dyDescent="0.2">
      <c r="A186" s="78"/>
    </row>
    <row r="187" spans="1:1" x14ac:dyDescent="0.2">
      <c r="A187" s="78"/>
    </row>
    <row r="188" spans="1:1" x14ac:dyDescent="0.2">
      <c r="A188" s="78"/>
    </row>
    <row r="189" spans="1:1" x14ac:dyDescent="0.2">
      <c r="A189" s="78"/>
    </row>
    <row r="190" spans="1:1" x14ac:dyDescent="0.2">
      <c r="A190" s="78"/>
    </row>
    <row r="191" spans="1:1" x14ac:dyDescent="0.2">
      <c r="A191" s="78"/>
    </row>
    <row r="192" spans="1:1" x14ac:dyDescent="0.2">
      <c r="A192" s="78"/>
    </row>
    <row r="193" spans="1:1" x14ac:dyDescent="0.2">
      <c r="A193" s="78"/>
    </row>
    <row r="194" spans="1:1" x14ac:dyDescent="0.2">
      <c r="A194" s="78"/>
    </row>
    <row r="195" spans="1:1" x14ac:dyDescent="0.2">
      <c r="A195" s="78"/>
    </row>
    <row r="196" spans="1:1" x14ac:dyDescent="0.2">
      <c r="A196" s="78"/>
    </row>
    <row r="197" spans="1:1" x14ac:dyDescent="0.2">
      <c r="A197" s="78"/>
    </row>
    <row r="198" spans="1:1" x14ac:dyDescent="0.2">
      <c r="A198" s="78"/>
    </row>
    <row r="199" spans="1:1" x14ac:dyDescent="0.2">
      <c r="A199" s="78"/>
    </row>
    <row r="200" spans="1:1" x14ac:dyDescent="0.2">
      <c r="A200" s="78"/>
    </row>
    <row r="201" spans="1:1" x14ac:dyDescent="0.2">
      <c r="A201" s="78"/>
    </row>
    <row r="202" spans="1:1" x14ac:dyDescent="0.2">
      <c r="A202" s="78"/>
    </row>
    <row r="203" spans="1:1" x14ac:dyDescent="0.2">
      <c r="A203" s="78"/>
    </row>
    <row r="204" spans="1:1" x14ac:dyDescent="0.2">
      <c r="A204" s="78"/>
    </row>
    <row r="205" spans="1:1" x14ac:dyDescent="0.2">
      <c r="A205" s="7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Deal Volumes</vt:lpstr>
      <vt:lpstr>GD Options</vt:lpstr>
      <vt:lpstr>Curves</vt:lpstr>
      <vt:lpstr>Locations</vt:lpstr>
      <vt:lpstr>Model - Summer</vt:lpstr>
      <vt:lpstr>Model - PH Robinson Only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2000-02-14T20:18:57Z</cp:lastPrinted>
  <dcterms:created xsi:type="dcterms:W3CDTF">2000-02-09T23:20:56Z</dcterms:created>
  <dcterms:modified xsi:type="dcterms:W3CDTF">2023-09-10T11:57:10Z</dcterms:modified>
</cp:coreProperties>
</file>