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D981122-6385-497E-9975-64689F470D27}" xr6:coauthVersionLast="47" xr6:coauthVersionMax="47" xr10:uidLastSave="{00000000-0000-0000-0000-000000000000}"/>
  <bookViews>
    <workbookView xWindow="-120" yWindow="-120" windowWidth="38640" windowHeight="15720" tabRatio="723"/>
  </bookViews>
  <sheets>
    <sheet name="NNG 2001 &amp; 2002 DTH COMPARISON" sheetId="20" r:id="rId1"/>
    <sheet name="NNG  DTH PRA  12 MONTH" sheetId="39" r:id="rId2"/>
    <sheet name="NNG CYTD DTH 2000" sheetId="35" r:id="rId3"/>
    <sheet name="NNG Corrections" sheetId="9" r:id="rId4"/>
  </sheets>
  <definedNames>
    <definedName name="_xlnm.Print_Area" localSheetId="3">'NNG Corrections'!#REF!</definedName>
    <definedName name="_xlnm.Print_Titles" localSheetId="3">'NNG Corrections'!$1:$2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39" l="1"/>
  <c r="N11" i="39"/>
  <c r="O11" i="39"/>
  <c r="P11" i="39"/>
  <c r="Q11" i="39"/>
  <c r="R11" i="39"/>
  <c r="S11" i="39"/>
  <c r="T11" i="39"/>
  <c r="U11" i="39"/>
  <c r="V11" i="39"/>
  <c r="W11" i="39"/>
  <c r="X11" i="39"/>
  <c r="N12" i="39"/>
  <c r="O12" i="39"/>
  <c r="P12" i="39"/>
  <c r="Q12" i="39"/>
  <c r="R12" i="39"/>
  <c r="S12" i="39"/>
  <c r="T12" i="39"/>
  <c r="U12" i="39"/>
  <c r="V12" i="39"/>
  <c r="W12" i="39"/>
  <c r="X12" i="39"/>
  <c r="B13" i="39"/>
  <c r="C13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B14" i="39"/>
  <c r="C14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X14" i="39"/>
  <c r="B15" i="39"/>
  <c r="C15" i="39"/>
  <c r="D15" i="39"/>
  <c r="E15" i="39"/>
  <c r="F15" i="39"/>
  <c r="G15" i="39"/>
  <c r="H15" i="39"/>
  <c r="I15" i="39"/>
  <c r="J15" i="39"/>
  <c r="K15" i="39"/>
  <c r="L15" i="39"/>
  <c r="M15" i="39"/>
  <c r="N15" i="39"/>
  <c r="O15" i="39"/>
  <c r="P15" i="39"/>
  <c r="Q15" i="39"/>
  <c r="R15" i="39"/>
  <c r="S15" i="39"/>
  <c r="T15" i="39"/>
  <c r="U15" i="39"/>
  <c r="V15" i="39"/>
  <c r="W15" i="39"/>
  <c r="X15" i="39"/>
  <c r="B16" i="39"/>
  <c r="C16" i="39"/>
  <c r="D16" i="39"/>
  <c r="E16" i="39"/>
  <c r="F16" i="39"/>
  <c r="G16" i="39"/>
  <c r="H16" i="39"/>
  <c r="I16" i="39"/>
  <c r="J16" i="39"/>
  <c r="K16" i="39"/>
  <c r="L16" i="39"/>
  <c r="M16" i="39"/>
  <c r="N16" i="39"/>
  <c r="O16" i="39"/>
  <c r="P16" i="39"/>
  <c r="Q16" i="39"/>
  <c r="R16" i="39"/>
  <c r="S16" i="39"/>
  <c r="T16" i="39"/>
  <c r="U16" i="39"/>
  <c r="V16" i="39"/>
  <c r="W16" i="39"/>
  <c r="X16" i="39"/>
  <c r="B17" i="39"/>
  <c r="C17" i="39"/>
  <c r="D17" i="39"/>
  <c r="E17" i="39"/>
  <c r="F17" i="39"/>
  <c r="G17" i="39"/>
  <c r="H17" i="39"/>
  <c r="I17" i="39"/>
  <c r="J17" i="39"/>
  <c r="K17" i="39"/>
  <c r="L17" i="39"/>
  <c r="M17" i="39"/>
  <c r="N17" i="39"/>
  <c r="O17" i="39"/>
  <c r="P17" i="39"/>
  <c r="Q17" i="39"/>
  <c r="R17" i="39"/>
  <c r="S17" i="39"/>
  <c r="T17" i="39"/>
  <c r="U17" i="39"/>
  <c r="V17" i="39"/>
  <c r="W17" i="39"/>
  <c r="X17" i="39"/>
  <c r="X19" i="39"/>
  <c r="X21" i="39"/>
  <c r="X22" i="39"/>
  <c r="X23" i="39"/>
  <c r="X24" i="39"/>
  <c r="B25" i="39"/>
  <c r="C25" i="39"/>
  <c r="D25" i="39"/>
  <c r="E25" i="39"/>
  <c r="F25" i="39"/>
  <c r="G25" i="39"/>
  <c r="H25" i="39"/>
  <c r="I25" i="39"/>
  <c r="J25" i="39"/>
  <c r="K25" i="39"/>
  <c r="L25" i="39"/>
  <c r="M25" i="39"/>
  <c r="N25" i="39"/>
  <c r="O25" i="39"/>
  <c r="P25" i="39"/>
  <c r="Q25" i="39"/>
  <c r="R25" i="39"/>
  <c r="S25" i="39"/>
  <c r="T25" i="39"/>
  <c r="U25" i="39"/>
  <c r="V25" i="39"/>
  <c r="W25" i="39"/>
  <c r="X25" i="39"/>
  <c r="B26" i="39"/>
  <c r="C26" i="39"/>
  <c r="D26" i="39"/>
  <c r="E26" i="39"/>
  <c r="F26" i="39"/>
  <c r="G26" i="39"/>
  <c r="H26" i="39"/>
  <c r="I26" i="39"/>
  <c r="J26" i="39"/>
  <c r="K26" i="39"/>
  <c r="L26" i="39"/>
  <c r="M26" i="39"/>
  <c r="N26" i="39"/>
  <c r="O26" i="39"/>
  <c r="P26" i="39"/>
  <c r="Q26" i="39"/>
  <c r="R26" i="39"/>
  <c r="S26" i="39"/>
  <c r="T26" i="39"/>
  <c r="U26" i="39"/>
  <c r="V26" i="39"/>
  <c r="W26" i="39"/>
  <c r="X26" i="39"/>
  <c r="B27" i="39"/>
  <c r="C27" i="39"/>
  <c r="D27" i="39"/>
  <c r="E27" i="39"/>
  <c r="F27" i="39"/>
  <c r="G27" i="39"/>
  <c r="H27" i="39"/>
  <c r="I27" i="39"/>
  <c r="J27" i="39"/>
  <c r="K27" i="39"/>
  <c r="L27" i="39"/>
  <c r="M27" i="39"/>
  <c r="N27" i="39"/>
  <c r="O27" i="39"/>
  <c r="P27" i="39"/>
  <c r="Q27" i="39"/>
  <c r="R27" i="39"/>
  <c r="S27" i="39"/>
  <c r="T27" i="39"/>
  <c r="U27" i="39"/>
  <c r="V27" i="39"/>
  <c r="W27" i="39"/>
  <c r="X27" i="39"/>
  <c r="B8" i="20"/>
  <c r="N8" i="20"/>
  <c r="B9" i="20"/>
  <c r="N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N16" i="20"/>
  <c r="N18" i="20"/>
  <c r="N19" i="20"/>
  <c r="N20" i="20"/>
  <c r="N21" i="20"/>
  <c r="B22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B23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B24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E31" i="20"/>
  <c r="F31" i="20"/>
  <c r="G31" i="20"/>
  <c r="H31" i="20"/>
  <c r="I31" i="20"/>
  <c r="J31" i="20"/>
  <c r="K31" i="20"/>
  <c r="L31" i="20"/>
  <c r="M31" i="20"/>
  <c r="N31" i="20"/>
  <c r="E32" i="20"/>
  <c r="F32" i="20"/>
  <c r="G32" i="20"/>
  <c r="H32" i="20"/>
  <c r="I32" i="20"/>
  <c r="J32" i="20"/>
  <c r="K32" i="20"/>
  <c r="L32" i="20"/>
  <c r="M32" i="20"/>
  <c r="N32" i="20"/>
  <c r="B33" i="20"/>
  <c r="C33" i="20"/>
  <c r="D33" i="20"/>
  <c r="E33" i="20"/>
  <c r="F33" i="20"/>
  <c r="G33" i="20"/>
  <c r="H33" i="20"/>
  <c r="I33" i="20"/>
  <c r="J33" i="20"/>
  <c r="K33" i="20"/>
  <c r="L33" i="20"/>
  <c r="M33" i="20"/>
  <c r="N33" i="20"/>
  <c r="B34" i="20"/>
  <c r="C34" i="20"/>
  <c r="D34" i="20"/>
  <c r="E34" i="20"/>
  <c r="F34" i="20"/>
  <c r="G34" i="20"/>
  <c r="H34" i="20"/>
  <c r="I34" i="20"/>
  <c r="J34" i="20"/>
  <c r="K34" i="20"/>
  <c r="L34" i="20"/>
  <c r="M34" i="20"/>
  <c r="N34" i="20"/>
  <c r="B35" i="20"/>
  <c r="C35" i="20"/>
  <c r="D35" i="20"/>
  <c r="E35" i="20"/>
  <c r="F35" i="20"/>
  <c r="G35" i="20"/>
  <c r="H35" i="20"/>
  <c r="I35" i="20"/>
  <c r="J35" i="20"/>
  <c r="K35" i="20"/>
  <c r="L35" i="20"/>
  <c r="M35" i="20"/>
  <c r="N35" i="20"/>
  <c r="B36" i="20"/>
  <c r="C36" i="20"/>
  <c r="D36" i="20"/>
  <c r="E36" i="20"/>
  <c r="F36" i="20"/>
  <c r="G36" i="20"/>
  <c r="H36" i="20"/>
  <c r="I36" i="20"/>
  <c r="J36" i="20"/>
  <c r="K36" i="20"/>
  <c r="L36" i="20"/>
  <c r="M36" i="20"/>
  <c r="N36" i="20"/>
  <c r="B37" i="20"/>
  <c r="C37" i="20"/>
  <c r="D37" i="20"/>
  <c r="E37" i="20"/>
  <c r="F37" i="20"/>
  <c r="G37" i="20"/>
  <c r="H37" i="20"/>
  <c r="I37" i="20"/>
  <c r="J37" i="20"/>
  <c r="K37" i="20"/>
  <c r="L37" i="20"/>
  <c r="M37" i="20"/>
  <c r="N37" i="20"/>
  <c r="N39" i="20"/>
  <c r="N41" i="20"/>
  <c r="N42" i="20"/>
  <c r="N43" i="20"/>
  <c r="N44" i="20"/>
  <c r="B45" i="20"/>
  <c r="C45" i="20"/>
  <c r="D45" i="20"/>
  <c r="E45" i="20"/>
  <c r="F45" i="20"/>
  <c r="G45" i="20"/>
  <c r="H45" i="20"/>
  <c r="I45" i="20"/>
  <c r="J45" i="20"/>
  <c r="K45" i="20"/>
  <c r="L45" i="20"/>
  <c r="M45" i="20"/>
  <c r="N45" i="20"/>
  <c r="B46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B47" i="20"/>
  <c r="C47" i="20"/>
  <c r="D47" i="20"/>
  <c r="E47" i="20"/>
  <c r="F47" i="20"/>
  <c r="G47" i="20"/>
  <c r="H47" i="20"/>
  <c r="I47" i="20"/>
  <c r="J47" i="20"/>
  <c r="K47" i="20"/>
  <c r="L47" i="20"/>
  <c r="M47" i="20"/>
  <c r="N47" i="20"/>
  <c r="G3" i="9"/>
  <c r="J3" i="9"/>
  <c r="G4" i="9"/>
  <c r="J4" i="9"/>
  <c r="G5" i="9"/>
  <c r="J5" i="9"/>
  <c r="G6" i="9"/>
  <c r="J6" i="9"/>
  <c r="G7" i="9"/>
  <c r="J7" i="9"/>
  <c r="G8" i="9"/>
  <c r="J8" i="9"/>
  <c r="G9" i="9"/>
  <c r="J9" i="9"/>
  <c r="G10" i="9"/>
  <c r="J10" i="9"/>
  <c r="G11" i="9"/>
  <c r="J11" i="9"/>
  <c r="G12" i="9"/>
  <c r="J12" i="9"/>
  <c r="G13" i="9"/>
  <c r="J13" i="9"/>
  <c r="G14" i="9"/>
  <c r="J14" i="9"/>
  <c r="G15" i="9"/>
  <c r="J15" i="9"/>
  <c r="G16" i="9"/>
  <c r="J16" i="9"/>
  <c r="G17" i="9"/>
  <c r="J17" i="9"/>
  <c r="G18" i="9"/>
  <c r="J18" i="9"/>
  <c r="G19" i="9"/>
  <c r="J19" i="9"/>
  <c r="G20" i="9"/>
  <c r="J20" i="9"/>
  <c r="G21" i="9"/>
  <c r="J21" i="9"/>
  <c r="G22" i="9"/>
  <c r="J22" i="9"/>
  <c r="N8" i="35"/>
  <c r="N9" i="35"/>
  <c r="B10" i="35"/>
  <c r="C10" i="35"/>
  <c r="D10" i="35"/>
  <c r="E10" i="35"/>
  <c r="F10" i="35"/>
  <c r="G10" i="35"/>
  <c r="H10" i="35"/>
  <c r="I10" i="35"/>
  <c r="J10" i="35"/>
  <c r="K10" i="35"/>
  <c r="L10" i="35"/>
  <c r="M10" i="35"/>
  <c r="N10" i="35"/>
  <c r="B11" i="35"/>
  <c r="C11" i="35"/>
  <c r="D11" i="35"/>
  <c r="E11" i="35"/>
  <c r="F11" i="35"/>
  <c r="G11" i="35"/>
  <c r="H11" i="35"/>
  <c r="I11" i="35"/>
  <c r="J11" i="35"/>
  <c r="K11" i="35"/>
  <c r="L11" i="35"/>
  <c r="M11" i="35"/>
  <c r="N11" i="35"/>
  <c r="B12" i="35"/>
  <c r="C12" i="35"/>
  <c r="D12" i="35"/>
  <c r="E12" i="35"/>
  <c r="F12" i="35"/>
  <c r="G12" i="35"/>
  <c r="H12" i="35"/>
  <c r="I12" i="35"/>
  <c r="J12" i="35"/>
  <c r="K12" i="35"/>
  <c r="L12" i="35"/>
  <c r="M12" i="35"/>
  <c r="N12" i="35"/>
  <c r="B13" i="35"/>
  <c r="C13" i="35"/>
  <c r="D13" i="35"/>
  <c r="E13" i="35"/>
  <c r="F13" i="35"/>
  <c r="G13" i="35"/>
  <c r="H13" i="35"/>
  <c r="I13" i="35"/>
  <c r="J13" i="35"/>
  <c r="K13" i="35"/>
  <c r="L13" i="35"/>
  <c r="M13" i="35"/>
  <c r="N13" i="35"/>
  <c r="B14" i="35"/>
  <c r="C14" i="35"/>
  <c r="D14" i="35"/>
  <c r="E14" i="35"/>
  <c r="F14" i="35"/>
  <c r="G14" i="35"/>
  <c r="H14" i="35"/>
  <c r="I14" i="35"/>
  <c r="J14" i="35"/>
  <c r="K14" i="35"/>
  <c r="L14" i="35"/>
  <c r="M14" i="35"/>
  <c r="N14" i="35"/>
  <c r="N16" i="35"/>
  <c r="N18" i="35"/>
  <c r="N19" i="35"/>
  <c r="N20" i="35"/>
  <c r="N21" i="35"/>
  <c r="B22" i="35"/>
  <c r="C22" i="35"/>
  <c r="D22" i="35"/>
  <c r="E22" i="35"/>
  <c r="F22" i="35"/>
  <c r="G22" i="35"/>
  <c r="H22" i="35"/>
  <c r="I22" i="35"/>
  <c r="J22" i="35"/>
  <c r="K22" i="35"/>
  <c r="L22" i="35"/>
  <c r="M22" i="35"/>
  <c r="N22" i="35"/>
  <c r="B23" i="35"/>
  <c r="C23" i="35"/>
  <c r="D23" i="35"/>
  <c r="E23" i="35"/>
  <c r="F23" i="35"/>
  <c r="G23" i="35"/>
  <c r="H23" i="35"/>
  <c r="I23" i="35"/>
  <c r="J23" i="35"/>
  <c r="K23" i="35"/>
  <c r="L23" i="35"/>
  <c r="M23" i="35"/>
  <c r="N23" i="35"/>
  <c r="B24" i="35"/>
  <c r="C24" i="35"/>
  <c r="D24" i="35"/>
  <c r="E24" i="35"/>
  <c r="F24" i="35"/>
  <c r="G24" i="35"/>
  <c r="H24" i="35"/>
  <c r="I24" i="35"/>
  <c r="J24" i="35"/>
  <c r="K24" i="35"/>
  <c r="L24" i="35"/>
  <c r="M24" i="35"/>
  <c r="N24" i="35"/>
</calcChain>
</file>

<file path=xl/sharedStrings.xml><?xml version="1.0" encoding="utf-8"?>
<sst xmlns="http://schemas.openxmlformats.org/spreadsheetml/2006/main" count="238" uniqueCount="84">
  <si>
    <t>NORTHERN NATURAL GAS</t>
  </si>
  <si>
    <t xml:space="preserve"> </t>
  </si>
  <si>
    <t xml:space="preserve">             Revised: </t>
  </si>
  <si>
    <t>12 Month History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</si>
  <si>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</si>
  <si>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</si>
  <si>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</si>
  <si>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</si>
  <si>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</si>
  <si>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</si>
  <si>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</si>
  <si>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</si>
  <si>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</si>
  <si>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</si>
  <si>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</si>
  <si>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</si>
  <si>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12 MONTH</t>
  </si>
  <si>
    <t>TOTAL</t>
  </si>
  <si>
    <t>Measured Rec.</t>
  </si>
  <si>
    <t>Measured Del.</t>
  </si>
  <si>
    <t>Del. Subtotal</t>
  </si>
  <si>
    <t>Measured Imbal.</t>
  </si>
  <si>
    <t>%</t>
  </si>
  <si>
    <t>Measured Adj. Imbal</t>
  </si>
  <si>
    <t>Pipeline Receipts</t>
  </si>
  <si>
    <t>Pipeline Deliveries</t>
  </si>
  <si>
    <t>Pipeline Company Use</t>
  </si>
  <si>
    <t>Pipeline Line Pack</t>
  </si>
  <si>
    <t>Shrinkage</t>
  </si>
  <si>
    <t>Calculation of System Gain or (Loss) - in Dth</t>
  </si>
  <si>
    <t>Starting Imbal Dth</t>
  </si>
  <si>
    <t>MCF @ 14.73</t>
  </si>
  <si>
    <t>MMBTU @ 14.73</t>
  </si>
  <si>
    <t>Corr</t>
  </si>
  <si>
    <t>Reason for Correction</t>
  </si>
  <si>
    <t>Station #</t>
  </si>
  <si>
    <t>POI</t>
  </si>
  <si>
    <t>R/D</t>
  </si>
  <si>
    <t>Station Name</t>
  </si>
  <si>
    <t>Original</t>
  </si>
  <si>
    <t>Corrrected</t>
  </si>
  <si>
    <t>Difference</t>
  </si>
  <si>
    <t>Corrected</t>
  </si>
  <si>
    <t>Hrs</t>
  </si>
  <si>
    <t>MM/YY</t>
  </si>
  <si>
    <t>By</t>
  </si>
  <si>
    <t>Code and Description</t>
  </si>
  <si>
    <t>Calculation of System Gain or (Loss) - in DTH</t>
  </si>
  <si>
    <t>R.Panzer</t>
  </si>
  <si>
    <t>D</t>
  </si>
  <si>
    <t>LANCASTER TBS #1</t>
  </si>
  <si>
    <t>D. BOSWELL</t>
  </si>
  <si>
    <t>DEE-I DATA ENTRY ERROR</t>
  </si>
  <si>
    <t>R</t>
  </si>
  <si>
    <t>VALERO/NNG SPRABERRY SUM</t>
  </si>
  <si>
    <t>A. MENDEZ</t>
  </si>
  <si>
    <t>ERA-O ESTIMATE REPCD WITH ACTL LATE</t>
  </si>
  <si>
    <t>LNG WRENSHALL PLANT DISCHARGE</t>
  </si>
  <si>
    <t>B. LACHAPELLE</t>
  </si>
  <si>
    <t>DEE-O DATA ENTRY ERROR</t>
  </si>
  <si>
    <t>LNG VAPORIZER OUTPUT WITHDRAWAL</t>
  </si>
  <si>
    <t>NNG TO VALERO @ SPRABERRY</t>
  </si>
  <si>
    <t>C. SOMMER</t>
  </si>
  <si>
    <t>ERA- O ESTIMATE REPCD WITH ACTL LATE</t>
  </si>
  <si>
    <t>STRUM (BACH)</t>
  </si>
  <si>
    <t>D. LACHAPELLE</t>
  </si>
  <si>
    <t>ECF- F EFM COMMUNICATION FAILURE</t>
  </si>
  <si>
    <t>RAHR MALTING COMPANY</t>
  </si>
  <si>
    <t>MNV- O MISSING VOLUME</t>
  </si>
  <si>
    <t>CARDINAL IG PLANT</t>
  </si>
  <si>
    <t>GPM/EUNICE PLANT</t>
  </si>
  <si>
    <t>V.METZLER</t>
  </si>
  <si>
    <t>MCN-F MEASURED CHANGE NOT RECEIVED</t>
  </si>
  <si>
    <t>OTHO - TBS #1</t>
  </si>
  <si>
    <t>ERA- F ESTIMATE REPCD WITH ACTL LATE</t>
  </si>
  <si>
    <t>WEST CAMERON 405</t>
  </si>
  <si>
    <t>WEST CAMERON 277</t>
  </si>
  <si>
    <t>TESCOTT #2 COMP. STA. TRANS</t>
  </si>
  <si>
    <t>ICT- F INVALID CALCULATION TYPE</t>
  </si>
  <si>
    <t>PLATTE RIVER STA ET AL-TBS#1D</t>
  </si>
  <si>
    <t>A. STEWART</t>
  </si>
  <si>
    <t>DEE-S SYSTEM ERROR</t>
  </si>
  <si>
    <t xml:space="preserve">BUSHTON #4 FUEL COMPRESSOR </t>
  </si>
  <si>
    <t>IPI-F INTSCAN PROCESS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</si>
</sst>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6" formatCode="0_);[Red]\(0\)"/>
  </numFmts>
  <fonts count="9" x14ac:knownFonts="1">
    <font>
      <sz val="10"/>
      <name val="Arial"/>
    </font>
    <font>
      <sz val="10"/>
      <name val="Arial"/>
    </font>
    <font>
      <sz val="8"/>
      <color indexed="8"/>
      <name val="Arial Narrow"/>
      <family val="2"/>
    </font>
    <font>
      <b/>
      <sz val="8"/>
      <color indexed="8"/>
      <name val="Arial Narrow"/>
      <family val="2"/>
    </font>
    <font>
      <sz val="10"/>
      <color indexed="8"/>
      <name val="Arial Narrow"/>
      <family val="2"/>
    </font>
    <font>
      <sz val="6"/>
      <color indexed="8"/>
      <name val="Arial Narrow"/>
      <family val="2"/>
    </font>
    <font>
      <sz val="8"/>
      <name val="Arial"/>
    </font>
    <font>
      <sz val="8"/>
      <name val="Arial Narrow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38" fontId="2" fillId="0" borderId="0" xfId="0" applyNumberFormat="1" applyFont="1" applyAlignment="1">
      <alignment horizontal="left" vertical="center"/>
    </xf>
    <xf numFmtId="38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38" fontId="3" fillId="0" borderId="0" xfId="0" applyNumberFormat="1" applyFont="1" applyAlignment="1">
      <alignment horizontal="center" vertical="center"/>
    </xf>
    <xf numFmtId="0" fontId="4" fillId="0" borderId="0" xfId="0" applyFont="1"/>
    <xf numFmtId="38" fontId="5" fillId="0" borderId="0" xfId="0" applyNumberFormat="1" applyFont="1" applyAlignment="1">
      <alignment horizontal="left" vertical="center"/>
    </xf>
    <xf numFmtId="37" fontId="2" fillId="0" borderId="0" xfId="0" applyNumberFormat="1" applyFont="1" applyAlignment="1">
      <alignment horizontal="center"/>
    </xf>
    <xf numFmtId="10" fontId="5" fillId="0" borderId="0" xfId="0" applyNumberFormat="1" applyFont="1" applyAlignment="1">
      <alignment horizontal="left" vertical="center"/>
    </xf>
    <xf numFmtId="10" fontId="2" fillId="0" borderId="0" xfId="0" applyNumberFormat="1" applyFont="1" applyAlignment="1">
      <alignment horizontal="center" vertical="center"/>
    </xf>
    <xf numFmtId="38" fontId="2" fillId="0" borderId="0" xfId="0" applyNumberFormat="1" applyFont="1" applyAlignment="1" applyProtection="1">
      <alignment horizontal="center" vertical="center"/>
    </xf>
    <xf numFmtId="164" fontId="2" fillId="0" borderId="0" xfId="1" applyNumberFormat="1" applyFont="1"/>
    <xf numFmtId="166" fontId="2" fillId="0" borderId="0" xfId="0" applyNumberFormat="1" applyFont="1" applyAlignment="1">
      <alignment horizontal="center"/>
    </xf>
    <xf numFmtId="0" fontId="2" fillId="0" borderId="0" xfId="0" applyFont="1"/>
    <xf numFmtId="0" fontId="6" fillId="0" borderId="0" xfId="0" applyFont="1"/>
    <xf numFmtId="38" fontId="7" fillId="0" borderId="0" xfId="0" applyNumberFormat="1" applyFont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5" xfId="0" applyFont="1" applyBorder="1" applyAlignment="1">
      <alignment horizontal="center" wrapText="1"/>
    </xf>
    <xf numFmtId="17" fontId="8" fillId="0" borderId="0" xfId="0" applyNumberFormat="1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right"/>
    </xf>
    <xf numFmtId="0" fontId="8" fillId="0" borderId="0" xfId="0" applyFont="1" applyAlignment="1">
      <alignment horizontal="right"/>
    </xf>
    <xf numFmtId="17" fontId="8" fillId="0" borderId="0" xfId="0" applyNumberFormat="1" applyFont="1" applyAlignment="1">
      <alignment horizontal="center"/>
    </xf>
    <xf numFmtId="0" fontId="8" fillId="0" borderId="0" xfId="0" applyFont="1" applyAlignment="1"/>
    <xf numFmtId="0" fontId="8" fillId="0" borderId="0" xfId="0" applyFont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workbookViewId="0">
      <selection activeCell="F62" sqref="F62"/>
    </sheetView>
  </sheetViews>
  <sheetFormatPr defaultRowHeight="12.75" x14ac:dyDescent="0.2"/>
  <cols>
    <col min="14" max="14" width="9.5703125" customWidth="1"/>
  </cols>
  <sheetData>
    <row r="1" spans="1:14" x14ac:dyDescent="0.2">
      <c r="A1" s="1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2">
      <c r="A2" s="1" t="s">
        <v>47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14" x14ac:dyDescent="0.2">
      <c r="A3" s="1" t="s">
        <v>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</row>
    <row r="4" spans="1:14" x14ac:dyDescent="0.2">
      <c r="A4" s="1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14" ht="13.5" x14ac:dyDescent="0.25">
      <c r="A5" s="1"/>
      <c r="B5" s="4" t="s">
        <v>13</v>
      </c>
      <c r="C5" s="4" t="s">
        <v>14</v>
      </c>
      <c r="D5" s="4" t="s">
        <v>15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  <c r="L5" s="4" t="s">
        <v>11</v>
      </c>
      <c r="M5" s="4" t="s">
        <v>12</v>
      </c>
      <c r="N5" s="5"/>
    </row>
    <row r="6" spans="1:14" ht="13.5" x14ac:dyDescent="0.25">
      <c r="A6" s="1"/>
      <c r="B6" s="4">
        <v>2002</v>
      </c>
      <c r="C6" s="4">
        <v>2002</v>
      </c>
      <c r="D6" s="4">
        <v>2002</v>
      </c>
      <c r="E6" s="4">
        <v>2002</v>
      </c>
      <c r="F6" s="4">
        <v>2002</v>
      </c>
      <c r="G6" s="4">
        <v>2002</v>
      </c>
      <c r="H6" s="4">
        <v>2002</v>
      </c>
      <c r="I6" s="4">
        <v>2002</v>
      </c>
      <c r="J6" s="4">
        <v>2002</v>
      </c>
      <c r="K6" s="4">
        <v>2002</v>
      </c>
      <c r="L6" s="4">
        <v>2002</v>
      </c>
      <c r="M6" s="4">
        <v>2002</v>
      </c>
      <c r="N6" s="5" t="s">
        <v>17</v>
      </c>
    </row>
    <row r="7" spans="1:14" ht="13.5" x14ac:dyDescent="0.25">
      <c r="A7" s="1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2"/>
    </row>
    <row r="8" spans="1:14" ht="13.5" x14ac:dyDescent="0.25">
      <c r="A8" s="7" t="s">
        <v>18</v>
      </c>
      <c r="B8" s="8">
        <f>134965386+188706524</f>
        <v>323671910</v>
      </c>
      <c r="C8" s="8"/>
      <c r="D8" s="8"/>
      <c r="E8" s="2"/>
      <c r="F8" s="2"/>
      <c r="G8" s="2"/>
      <c r="H8" s="2"/>
      <c r="I8" s="2"/>
      <c r="J8" s="2"/>
      <c r="K8" s="2"/>
      <c r="L8" s="2"/>
      <c r="M8" s="2"/>
      <c r="N8" s="2">
        <f>SUM(B8:M8)</f>
        <v>323671910</v>
      </c>
    </row>
    <row r="9" spans="1:14" ht="13.5" x14ac:dyDescent="0.25">
      <c r="A9" s="7" t="s">
        <v>19</v>
      </c>
      <c r="B9" s="8">
        <f>134138161+188706524</f>
        <v>322844685</v>
      </c>
      <c r="C9" s="8"/>
      <c r="D9" s="8"/>
      <c r="E9" s="2"/>
      <c r="F9" s="2"/>
      <c r="G9" s="2"/>
      <c r="H9" s="2"/>
      <c r="I9" s="2"/>
      <c r="J9" s="2"/>
      <c r="K9" s="2"/>
      <c r="L9" s="2"/>
      <c r="M9" s="2"/>
      <c r="N9" s="2">
        <f>SUM(B9:M9)</f>
        <v>322844685</v>
      </c>
    </row>
    <row r="10" spans="1:14" x14ac:dyDescent="0.2">
      <c r="A10" s="7" t="s">
        <v>20</v>
      </c>
      <c r="B10" s="2">
        <f t="shared" ref="B10:M10" si="0">+B9+B19+B20+B21</f>
        <v>322844685</v>
      </c>
      <c r="C10" s="2">
        <f t="shared" si="0"/>
        <v>0</v>
      </c>
      <c r="D10" s="2">
        <f t="shared" si="0"/>
        <v>0</v>
      </c>
      <c r="E10" s="2">
        <f t="shared" si="0"/>
        <v>0</v>
      </c>
      <c r="F10" s="2">
        <f t="shared" si="0"/>
        <v>0</v>
      </c>
      <c r="G10" s="2">
        <f t="shared" si="0"/>
        <v>0</v>
      </c>
      <c r="H10" s="2">
        <f t="shared" si="0"/>
        <v>0</v>
      </c>
      <c r="I10" s="2">
        <f t="shared" si="0"/>
        <v>0</v>
      </c>
      <c r="J10" s="2">
        <f t="shared" si="0"/>
        <v>0</v>
      </c>
      <c r="K10" s="2">
        <f t="shared" si="0"/>
        <v>0</v>
      </c>
      <c r="L10" s="2">
        <f t="shared" si="0"/>
        <v>0</v>
      </c>
      <c r="M10" s="2">
        <f t="shared" si="0"/>
        <v>0</v>
      </c>
      <c r="N10" s="2">
        <f>SUM(B10:M10)</f>
        <v>322844685</v>
      </c>
    </row>
    <row r="11" spans="1:14" x14ac:dyDescent="0.2">
      <c r="A11" s="7" t="s">
        <v>21</v>
      </c>
      <c r="B11" s="2">
        <f t="shared" ref="B11:M11" si="1">-B8+B10</f>
        <v>-827225</v>
      </c>
      <c r="C11" s="2">
        <f t="shared" si="1"/>
        <v>0</v>
      </c>
      <c r="D11" s="2">
        <f t="shared" si="1"/>
        <v>0</v>
      </c>
      <c r="E11" s="2">
        <f t="shared" si="1"/>
        <v>0</v>
      </c>
      <c r="F11" s="2">
        <f t="shared" si="1"/>
        <v>0</v>
      </c>
      <c r="G11" s="2">
        <f t="shared" si="1"/>
        <v>0</v>
      </c>
      <c r="H11" s="2">
        <f t="shared" si="1"/>
        <v>0</v>
      </c>
      <c r="I11" s="2">
        <f t="shared" si="1"/>
        <v>0</v>
      </c>
      <c r="J11" s="2">
        <f t="shared" si="1"/>
        <v>0</v>
      </c>
      <c r="K11" s="2">
        <f t="shared" si="1"/>
        <v>0</v>
      </c>
      <c r="L11" s="2">
        <f t="shared" si="1"/>
        <v>0</v>
      </c>
      <c r="M11" s="2">
        <f t="shared" si="1"/>
        <v>0</v>
      </c>
      <c r="N11" s="2">
        <f>SUM(B11:M11)</f>
        <v>-827225</v>
      </c>
    </row>
    <row r="12" spans="1:14" x14ac:dyDescent="0.2">
      <c r="A12" s="9" t="s">
        <v>22</v>
      </c>
      <c r="B12" s="10">
        <f t="shared" ref="B12:M12" si="2">B11/B8</f>
        <v>-2.5557515942609909E-3</v>
      </c>
      <c r="C12" s="10" t="e">
        <f t="shared" si="2"/>
        <v>#DIV/0!</v>
      </c>
      <c r="D12" s="10" t="e">
        <f t="shared" si="2"/>
        <v>#DIV/0!</v>
      </c>
      <c r="E12" s="10" t="e">
        <f t="shared" si="2"/>
        <v>#DIV/0!</v>
      </c>
      <c r="F12" s="10" t="e">
        <f t="shared" si="2"/>
        <v>#DIV/0!</v>
      </c>
      <c r="G12" s="10" t="e">
        <f t="shared" si="2"/>
        <v>#DIV/0!</v>
      </c>
      <c r="H12" s="10" t="e">
        <f t="shared" si="2"/>
        <v>#DIV/0!</v>
      </c>
      <c r="I12" s="10" t="e">
        <f t="shared" si="2"/>
        <v>#DIV/0!</v>
      </c>
      <c r="J12" s="10" t="e">
        <f t="shared" si="2"/>
        <v>#DIV/0!</v>
      </c>
      <c r="K12" s="10" t="e">
        <f t="shared" si="2"/>
        <v>#DIV/0!</v>
      </c>
      <c r="L12" s="10" t="e">
        <f t="shared" si="2"/>
        <v>#DIV/0!</v>
      </c>
      <c r="M12" s="10" t="e">
        <f t="shared" si="2"/>
        <v>#DIV/0!</v>
      </c>
      <c r="N12" s="10">
        <f>N11/N8</f>
        <v>-2.5557515942609909E-3</v>
      </c>
    </row>
    <row r="13" spans="1:14" x14ac:dyDescent="0.2">
      <c r="A13" s="7" t="s">
        <v>23</v>
      </c>
      <c r="B13" s="2">
        <f t="shared" ref="B13:J13" si="3">-B8+B10</f>
        <v>-827225</v>
      </c>
      <c r="C13" s="2">
        <f t="shared" si="3"/>
        <v>0</v>
      </c>
      <c r="D13" s="2">
        <f t="shared" si="3"/>
        <v>0</v>
      </c>
      <c r="E13" s="2">
        <f t="shared" si="3"/>
        <v>0</v>
      </c>
      <c r="F13" s="2">
        <f t="shared" si="3"/>
        <v>0</v>
      </c>
      <c r="G13" s="2">
        <f t="shared" si="3"/>
        <v>0</v>
      </c>
      <c r="H13" s="2">
        <f t="shared" si="3"/>
        <v>0</v>
      </c>
      <c r="I13" s="2">
        <f t="shared" si="3"/>
        <v>0</v>
      </c>
      <c r="J13" s="2">
        <f t="shared" si="3"/>
        <v>0</v>
      </c>
      <c r="K13" s="2">
        <f>-K8+K10</f>
        <v>0</v>
      </c>
      <c r="L13" s="2">
        <f>-L8+L10</f>
        <v>0</v>
      </c>
      <c r="M13" s="2">
        <f>-M8+M10</f>
        <v>0</v>
      </c>
      <c r="N13" s="2">
        <f>SUM(B13:M13)</f>
        <v>-827225</v>
      </c>
    </row>
    <row r="14" spans="1:14" x14ac:dyDescent="0.2">
      <c r="A14" s="9" t="s">
        <v>22</v>
      </c>
      <c r="B14" s="10">
        <f>B13/B8</f>
        <v>-2.5557515942609909E-3</v>
      </c>
      <c r="C14" s="10" t="e">
        <f>C13/C8</f>
        <v>#DIV/0!</v>
      </c>
      <c r="D14" s="10" t="e">
        <f>D13/D8</f>
        <v>#DIV/0!</v>
      </c>
      <c r="E14" s="10" t="e">
        <f t="shared" ref="E14:M14" si="4">E13/E10</f>
        <v>#DIV/0!</v>
      </c>
      <c r="F14" s="10" t="e">
        <f t="shared" si="4"/>
        <v>#DIV/0!</v>
      </c>
      <c r="G14" s="10" t="e">
        <f t="shared" si="4"/>
        <v>#DIV/0!</v>
      </c>
      <c r="H14" s="10" t="e">
        <f t="shared" si="4"/>
        <v>#DIV/0!</v>
      </c>
      <c r="I14" s="10" t="e">
        <f t="shared" si="4"/>
        <v>#DIV/0!</v>
      </c>
      <c r="J14" s="10" t="e">
        <f t="shared" si="4"/>
        <v>#DIV/0!</v>
      </c>
      <c r="K14" s="10" t="e">
        <f t="shared" si="4"/>
        <v>#DIV/0!</v>
      </c>
      <c r="L14" s="10" t="e">
        <f t="shared" si="4"/>
        <v>#DIV/0!</v>
      </c>
      <c r="M14" s="10" t="e">
        <f t="shared" si="4"/>
        <v>#DIV/0!</v>
      </c>
      <c r="N14" s="10">
        <f>N13/N8</f>
        <v>-2.5557515942609909E-3</v>
      </c>
    </row>
    <row r="15" spans="1:14" ht="13.5" x14ac:dyDescent="0.25">
      <c r="A15" s="7"/>
      <c r="B15" s="14"/>
      <c r="C15" s="14"/>
      <c r="D15" s="14"/>
      <c r="E15" s="2"/>
      <c r="F15" s="2"/>
      <c r="G15" s="2"/>
      <c r="H15" s="2"/>
      <c r="I15" s="6"/>
      <c r="J15" s="6"/>
      <c r="K15" s="6"/>
      <c r="L15" s="6"/>
      <c r="M15" s="6"/>
      <c r="N15" s="2" t="s">
        <v>1</v>
      </c>
    </row>
    <row r="16" spans="1:14" x14ac:dyDescent="0.2">
      <c r="A16" s="7" t="s">
        <v>24</v>
      </c>
      <c r="B16" s="2">
        <v>134965386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>
        <f>SUM(B16:M16)</f>
        <v>134965386</v>
      </c>
    </row>
    <row r="17" spans="1:14" x14ac:dyDescent="0.2">
      <c r="A17" s="7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 t="s">
        <v>1</v>
      </c>
    </row>
    <row r="18" spans="1:14" x14ac:dyDescent="0.2">
      <c r="A18" s="7" t="s">
        <v>25</v>
      </c>
      <c r="B18" s="2">
        <v>134138161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>
        <f t="shared" ref="N18:N23" si="5">SUM(B18:M18)</f>
        <v>134138161</v>
      </c>
    </row>
    <row r="19" spans="1:14" x14ac:dyDescent="0.2">
      <c r="A19" s="7" t="s">
        <v>26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f t="shared" si="5"/>
        <v>0</v>
      </c>
    </row>
    <row r="20" spans="1:14" x14ac:dyDescent="0.2">
      <c r="A20" s="7" t="s">
        <v>27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f t="shared" si="5"/>
        <v>0</v>
      </c>
    </row>
    <row r="21" spans="1:14" x14ac:dyDescent="0.2">
      <c r="A21" s="7" t="s">
        <v>28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f t="shared" si="5"/>
        <v>0</v>
      </c>
    </row>
    <row r="22" spans="1:14" x14ac:dyDescent="0.2">
      <c r="A22" s="7" t="s">
        <v>20</v>
      </c>
      <c r="B22" s="2">
        <f t="shared" ref="B22:M22" si="6">SUM(B18:B21)</f>
        <v>134138161</v>
      </c>
      <c r="C22" s="2">
        <f t="shared" si="6"/>
        <v>0</v>
      </c>
      <c r="D22" s="2">
        <f t="shared" si="6"/>
        <v>0</v>
      </c>
      <c r="E22" s="2">
        <f t="shared" si="6"/>
        <v>0</v>
      </c>
      <c r="F22" s="2">
        <f t="shared" si="6"/>
        <v>0</v>
      </c>
      <c r="G22" s="2">
        <f t="shared" si="6"/>
        <v>0</v>
      </c>
      <c r="H22" s="2">
        <f t="shared" si="6"/>
        <v>0</v>
      </c>
      <c r="I22" s="2">
        <f t="shared" si="6"/>
        <v>0</v>
      </c>
      <c r="J22" s="2">
        <f t="shared" si="6"/>
        <v>0</v>
      </c>
      <c r="K22" s="2">
        <f t="shared" si="6"/>
        <v>0</v>
      </c>
      <c r="L22" s="2">
        <f t="shared" si="6"/>
        <v>0</v>
      </c>
      <c r="M22" s="2">
        <f t="shared" si="6"/>
        <v>0</v>
      </c>
      <c r="N22" s="2">
        <f t="shared" si="5"/>
        <v>134138161</v>
      </c>
    </row>
    <row r="23" spans="1:14" x14ac:dyDescent="0.2">
      <c r="A23" s="7" t="s">
        <v>30</v>
      </c>
      <c r="B23" s="2">
        <f t="shared" ref="B23:M23" si="7">-B16+B22</f>
        <v>-827225</v>
      </c>
      <c r="C23" s="2">
        <f t="shared" si="7"/>
        <v>0</v>
      </c>
      <c r="D23" s="2">
        <f t="shared" si="7"/>
        <v>0</v>
      </c>
      <c r="E23" s="2">
        <f t="shared" si="7"/>
        <v>0</v>
      </c>
      <c r="F23" s="2">
        <f t="shared" si="7"/>
        <v>0</v>
      </c>
      <c r="G23" s="2">
        <f t="shared" si="7"/>
        <v>0</v>
      </c>
      <c r="H23" s="2">
        <f t="shared" si="7"/>
        <v>0</v>
      </c>
      <c r="I23" s="2">
        <f t="shared" si="7"/>
        <v>0</v>
      </c>
      <c r="J23" s="2">
        <f t="shared" si="7"/>
        <v>0</v>
      </c>
      <c r="K23" s="2">
        <f t="shared" si="7"/>
        <v>0</v>
      </c>
      <c r="L23" s="2">
        <f t="shared" si="7"/>
        <v>0</v>
      </c>
      <c r="M23" s="2">
        <f t="shared" si="7"/>
        <v>0</v>
      </c>
      <c r="N23" s="2">
        <f t="shared" si="5"/>
        <v>-827225</v>
      </c>
    </row>
    <row r="24" spans="1:14" x14ac:dyDescent="0.2">
      <c r="A24" s="9" t="s">
        <v>22</v>
      </c>
      <c r="B24" s="10">
        <f t="shared" ref="B24:M24" si="8">B23/B16</f>
        <v>-6.1291641102704658E-3</v>
      </c>
      <c r="C24" s="10" t="e">
        <f t="shared" si="8"/>
        <v>#DIV/0!</v>
      </c>
      <c r="D24" s="10" t="e">
        <f t="shared" si="8"/>
        <v>#DIV/0!</v>
      </c>
      <c r="E24" s="10" t="e">
        <f t="shared" si="8"/>
        <v>#DIV/0!</v>
      </c>
      <c r="F24" s="10" t="e">
        <f t="shared" si="8"/>
        <v>#DIV/0!</v>
      </c>
      <c r="G24" s="10" t="e">
        <f t="shared" si="8"/>
        <v>#DIV/0!</v>
      </c>
      <c r="H24" s="10" t="e">
        <f t="shared" si="8"/>
        <v>#DIV/0!</v>
      </c>
      <c r="I24" s="10" t="e">
        <f t="shared" si="8"/>
        <v>#DIV/0!</v>
      </c>
      <c r="J24" s="10" t="e">
        <f t="shared" si="8"/>
        <v>#DIV/0!</v>
      </c>
      <c r="K24" s="10" t="e">
        <f t="shared" si="8"/>
        <v>#DIV/0!</v>
      </c>
      <c r="L24" s="10" t="e">
        <f t="shared" si="8"/>
        <v>#DIV/0!</v>
      </c>
      <c r="M24" s="10" t="e">
        <f t="shared" si="8"/>
        <v>#DIV/0!</v>
      </c>
      <c r="N24" s="10">
        <f>N23/N16</f>
        <v>-6.1291641102704658E-3</v>
      </c>
    </row>
    <row r="28" spans="1:14" ht="13.5" x14ac:dyDescent="0.25">
      <c r="A28" s="1"/>
      <c r="B28" s="4" t="s">
        <v>13</v>
      </c>
      <c r="C28" s="4" t="s">
        <v>14</v>
      </c>
      <c r="D28" s="4" t="s">
        <v>15</v>
      </c>
      <c r="E28" s="4" t="s">
        <v>4</v>
      </c>
      <c r="F28" s="4" t="s">
        <v>5</v>
      </c>
      <c r="G28" s="4" t="s">
        <v>6</v>
      </c>
      <c r="H28" s="4" t="s">
        <v>7</v>
      </c>
      <c r="I28" s="4" t="s">
        <v>8</v>
      </c>
      <c r="J28" s="4" t="s">
        <v>9</v>
      </c>
      <c r="K28" s="4" t="s">
        <v>10</v>
      </c>
      <c r="L28" s="4" t="s">
        <v>11</v>
      </c>
      <c r="M28" s="4" t="s">
        <v>12</v>
      </c>
      <c r="N28" s="5"/>
    </row>
    <row r="29" spans="1:14" ht="13.5" x14ac:dyDescent="0.25">
      <c r="A29" s="1"/>
      <c r="B29" s="4">
        <v>2001</v>
      </c>
      <c r="C29" s="4">
        <v>2001</v>
      </c>
      <c r="D29" s="4">
        <v>2001</v>
      </c>
      <c r="E29" s="4">
        <v>2001</v>
      </c>
      <c r="F29" s="4">
        <v>2001</v>
      </c>
      <c r="G29" s="4">
        <v>2001</v>
      </c>
      <c r="H29" s="4">
        <v>2001</v>
      </c>
      <c r="I29" s="4">
        <v>2001</v>
      </c>
      <c r="J29" s="4">
        <v>2001</v>
      </c>
      <c r="K29" s="4">
        <v>2001</v>
      </c>
      <c r="L29" s="4">
        <v>2001</v>
      </c>
      <c r="M29" s="4">
        <v>2001</v>
      </c>
      <c r="N29" s="5" t="s">
        <v>17</v>
      </c>
    </row>
    <row r="30" spans="1:14" ht="13.5" x14ac:dyDescent="0.25">
      <c r="A30" s="1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2"/>
    </row>
    <row r="31" spans="1:14" ht="13.5" x14ac:dyDescent="0.25">
      <c r="A31" s="7" t="s">
        <v>18</v>
      </c>
      <c r="B31" s="8">
        <v>309193408</v>
      </c>
      <c r="C31" s="8">
        <v>317537668</v>
      </c>
      <c r="D31" s="8">
        <v>315178975</v>
      </c>
      <c r="E31" s="2">
        <f>99717974+142409684</f>
        <v>242127658</v>
      </c>
      <c r="F31" s="2">
        <f>94010445+127465912</f>
        <v>221476357</v>
      </c>
      <c r="G31" s="2">
        <f>95714869+121832472</f>
        <v>217547341</v>
      </c>
      <c r="H31" s="2">
        <f>105210566+141925661</f>
        <v>247136227</v>
      </c>
      <c r="I31" s="2">
        <f>105057188+133818236</f>
        <v>238875424</v>
      </c>
      <c r="J31" s="2">
        <f>100624676+129935740</f>
        <v>230560416</v>
      </c>
      <c r="K31" s="2">
        <f>111774912+180360920</f>
        <v>292135832</v>
      </c>
      <c r="L31" s="2">
        <f>108346746+166754508</f>
        <v>275101254</v>
      </c>
      <c r="M31" s="2">
        <f>126124336+187281009</f>
        <v>313405345</v>
      </c>
      <c r="N31" s="2">
        <f>SUM(B31:M31)</f>
        <v>3220275905</v>
      </c>
    </row>
    <row r="32" spans="1:14" ht="13.5" x14ac:dyDescent="0.25">
      <c r="A32" s="7" t="s">
        <v>19</v>
      </c>
      <c r="B32" s="8">
        <v>306688625</v>
      </c>
      <c r="C32" s="8">
        <v>315452446</v>
      </c>
      <c r="D32" s="8">
        <v>312469605</v>
      </c>
      <c r="E32" s="2">
        <f>99667816+142409684</f>
        <v>242077500</v>
      </c>
      <c r="F32" s="2">
        <f>93805806+127465912</f>
        <v>221271718</v>
      </c>
      <c r="G32" s="2">
        <f>95435602+121832472</f>
        <v>217268074</v>
      </c>
      <c r="H32" s="2">
        <f>104609966+141925661</f>
        <v>246535627</v>
      </c>
      <c r="I32" s="2">
        <f>104662588+133818236</f>
        <v>238480824</v>
      </c>
      <c r="J32" s="2">
        <f>100246222+129935740</f>
        <v>230181962</v>
      </c>
      <c r="K32" s="2">
        <f>111050240+180360920</f>
        <v>291411160</v>
      </c>
      <c r="L32" s="2">
        <f>107993888+166754508</f>
        <v>274748396</v>
      </c>
      <c r="M32" s="2">
        <f>125254349+187281009</f>
        <v>312535358</v>
      </c>
      <c r="N32" s="2">
        <f>SUM(B32:M32)</f>
        <v>3209121295</v>
      </c>
    </row>
    <row r="33" spans="1:14" x14ac:dyDescent="0.2">
      <c r="A33" s="7" t="s">
        <v>20</v>
      </c>
      <c r="B33" s="2">
        <f t="shared" ref="B33:M33" si="9">+B32+B42+B43+B44</f>
        <v>308780916</v>
      </c>
      <c r="C33" s="2">
        <f t="shared" si="9"/>
        <v>317473086</v>
      </c>
      <c r="D33" s="2">
        <f t="shared" si="9"/>
        <v>314742495</v>
      </c>
      <c r="E33" s="2">
        <f t="shared" si="9"/>
        <v>242077500</v>
      </c>
      <c r="F33" s="2">
        <f t="shared" si="9"/>
        <v>221271718</v>
      </c>
      <c r="G33" s="2">
        <f t="shared" si="9"/>
        <v>217268074</v>
      </c>
      <c r="H33" s="2">
        <f t="shared" si="9"/>
        <v>246535627</v>
      </c>
      <c r="I33" s="2">
        <f t="shared" si="9"/>
        <v>238480824</v>
      </c>
      <c r="J33" s="2">
        <f t="shared" si="9"/>
        <v>230181962</v>
      </c>
      <c r="K33" s="2">
        <f t="shared" si="9"/>
        <v>291411160</v>
      </c>
      <c r="L33" s="2">
        <f t="shared" si="9"/>
        <v>274748396</v>
      </c>
      <c r="M33" s="2">
        <f t="shared" si="9"/>
        <v>312535358</v>
      </c>
      <c r="N33" s="2">
        <f>SUM(B33:M33)</f>
        <v>3215507116</v>
      </c>
    </row>
    <row r="34" spans="1:14" x14ac:dyDescent="0.2">
      <c r="A34" s="7" t="s">
        <v>21</v>
      </c>
      <c r="B34" s="2">
        <f t="shared" ref="B34:M34" si="10">-B31+B33</f>
        <v>-412492</v>
      </c>
      <c r="C34" s="2">
        <f t="shared" si="10"/>
        <v>-64582</v>
      </c>
      <c r="D34" s="2">
        <f t="shared" si="10"/>
        <v>-436480</v>
      </c>
      <c r="E34" s="2">
        <f t="shared" si="10"/>
        <v>-50158</v>
      </c>
      <c r="F34" s="2">
        <f t="shared" si="10"/>
        <v>-204639</v>
      </c>
      <c r="G34" s="2">
        <f t="shared" si="10"/>
        <v>-279267</v>
      </c>
      <c r="H34" s="2">
        <f t="shared" si="10"/>
        <v>-600600</v>
      </c>
      <c r="I34" s="2">
        <f t="shared" si="10"/>
        <v>-394600</v>
      </c>
      <c r="J34" s="2">
        <f t="shared" si="10"/>
        <v>-378454</v>
      </c>
      <c r="K34" s="2">
        <f t="shared" si="10"/>
        <v>-724672</v>
      </c>
      <c r="L34" s="2">
        <f t="shared" si="10"/>
        <v>-352858</v>
      </c>
      <c r="M34" s="2">
        <f t="shared" si="10"/>
        <v>-869987</v>
      </c>
      <c r="N34" s="2">
        <f>SUM(B34:M34)</f>
        <v>-4768789</v>
      </c>
    </row>
    <row r="35" spans="1:14" x14ac:dyDescent="0.2">
      <c r="A35" s="9" t="s">
        <v>22</v>
      </c>
      <c r="B35" s="10">
        <f t="shared" ref="B35:N35" si="11">B34/B31</f>
        <v>-1.3340905379198771E-3</v>
      </c>
      <c r="C35" s="10">
        <f t="shared" si="11"/>
        <v>-2.03383744696393E-4</v>
      </c>
      <c r="D35" s="10">
        <f t="shared" si="11"/>
        <v>-1.3848639491260482E-3</v>
      </c>
      <c r="E35" s="10">
        <f t="shared" si="11"/>
        <v>-2.0715518588132546E-4</v>
      </c>
      <c r="F35" s="10">
        <f t="shared" si="11"/>
        <v>-9.2397672948900812E-4</v>
      </c>
      <c r="G35" s="10">
        <f t="shared" si="11"/>
        <v>-1.2837067955705328E-3</v>
      </c>
      <c r="H35" s="10">
        <f t="shared" si="11"/>
        <v>-2.4302386068231104E-3</v>
      </c>
      <c r="I35" s="10">
        <f t="shared" si="11"/>
        <v>-1.6519070626537118E-3</v>
      </c>
      <c r="J35" s="10">
        <f t="shared" si="11"/>
        <v>-1.641452624721149E-3</v>
      </c>
      <c r="K35" s="10">
        <f t="shared" si="11"/>
        <v>-2.4805995041375139E-3</v>
      </c>
      <c r="L35" s="10">
        <f t="shared" si="11"/>
        <v>-1.2826477337686E-3</v>
      </c>
      <c r="M35" s="10">
        <f t="shared" si="11"/>
        <v>-2.7759162818362273E-3</v>
      </c>
      <c r="N35" s="10">
        <f t="shared" si="11"/>
        <v>-1.4808634852050044E-3</v>
      </c>
    </row>
    <row r="36" spans="1:14" x14ac:dyDescent="0.2">
      <c r="A36" s="7" t="s">
        <v>23</v>
      </c>
      <c r="B36" s="2">
        <f t="shared" ref="B36:J36" si="12">-B31+B33</f>
        <v>-412492</v>
      </c>
      <c r="C36" s="2">
        <f t="shared" si="12"/>
        <v>-64582</v>
      </c>
      <c r="D36" s="2">
        <f t="shared" si="12"/>
        <v>-436480</v>
      </c>
      <c r="E36" s="2">
        <f t="shared" si="12"/>
        <v>-50158</v>
      </c>
      <c r="F36" s="2">
        <f t="shared" si="12"/>
        <v>-204639</v>
      </c>
      <c r="G36" s="2">
        <f t="shared" si="12"/>
        <v>-279267</v>
      </c>
      <c r="H36" s="2">
        <f t="shared" si="12"/>
        <v>-600600</v>
      </c>
      <c r="I36" s="2">
        <f t="shared" si="12"/>
        <v>-394600</v>
      </c>
      <c r="J36" s="2">
        <f t="shared" si="12"/>
        <v>-378454</v>
      </c>
      <c r="K36" s="2">
        <f>-K31+K33</f>
        <v>-724672</v>
      </c>
      <c r="L36" s="2">
        <f>-L31+L33</f>
        <v>-352858</v>
      </c>
      <c r="M36" s="2">
        <f>-M31+M33</f>
        <v>-869987</v>
      </c>
      <c r="N36" s="2">
        <f>SUM(B36:M36)</f>
        <v>-4768789</v>
      </c>
    </row>
    <row r="37" spans="1:14" x14ac:dyDescent="0.2">
      <c r="A37" s="9" t="s">
        <v>22</v>
      </c>
      <c r="B37" s="10">
        <f>B36/B31</f>
        <v>-1.3340905379198771E-3</v>
      </c>
      <c r="C37" s="10">
        <f>C36/C31</f>
        <v>-2.03383744696393E-4</v>
      </c>
      <c r="D37" s="10">
        <f>D36/D31</f>
        <v>-1.3848639491260482E-3</v>
      </c>
      <c r="E37" s="10">
        <f t="shared" ref="E37:M37" si="13">E36/E33</f>
        <v>-2.0719810804391156E-4</v>
      </c>
      <c r="F37" s="10">
        <f t="shared" si="13"/>
        <v>-9.2483125204460153E-4</v>
      </c>
      <c r="G37" s="10">
        <f t="shared" si="13"/>
        <v>-1.2853568168510574E-3</v>
      </c>
      <c r="H37" s="10">
        <f t="shared" si="13"/>
        <v>-2.4361590546099856E-3</v>
      </c>
      <c r="I37" s="10">
        <f t="shared" si="13"/>
        <v>-1.6546403747749548E-3</v>
      </c>
      <c r="J37" s="10">
        <f t="shared" si="13"/>
        <v>-1.6441514213872241E-3</v>
      </c>
      <c r="K37" s="10">
        <f t="shared" si="13"/>
        <v>-2.4867681800518552E-3</v>
      </c>
      <c r="L37" s="10">
        <f t="shared" si="13"/>
        <v>-1.2842950318807322E-3</v>
      </c>
      <c r="M37" s="10">
        <f t="shared" si="13"/>
        <v>-2.7836434429924567E-3</v>
      </c>
      <c r="N37" s="10">
        <f>N36/N31</f>
        <v>-1.4808634852050044E-3</v>
      </c>
    </row>
    <row r="38" spans="1:14" ht="13.5" x14ac:dyDescent="0.25">
      <c r="A38" s="7"/>
      <c r="B38" s="14"/>
      <c r="C38" s="14"/>
      <c r="D38" s="14"/>
      <c r="E38" s="2"/>
      <c r="F38" s="2"/>
      <c r="G38" s="2"/>
      <c r="H38" s="2"/>
      <c r="I38" s="6"/>
      <c r="J38" s="6"/>
      <c r="K38" s="6"/>
      <c r="L38" s="6"/>
      <c r="M38" s="6"/>
      <c r="N38" s="2" t="s">
        <v>1</v>
      </c>
    </row>
    <row r="39" spans="1:14" x14ac:dyDescent="0.2">
      <c r="A39" s="7" t="s">
        <v>24</v>
      </c>
      <c r="B39" s="2">
        <v>134189091</v>
      </c>
      <c r="C39" s="2">
        <v>123890929</v>
      </c>
      <c r="D39" s="2">
        <v>125822758</v>
      </c>
      <c r="E39" s="2">
        <v>99717974</v>
      </c>
      <c r="F39" s="2">
        <v>94010445</v>
      </c>
      <c r="G39" s="2">
        <v>95714869</v>
      </c>
      <c r="H39" s="2">
        <v>105210566</v>
      </c>
      <c r="I39" s="2">
        <v>105057188</v>
      </c>
      <c r="J39" s="2">
        <v>100624676</v>
      </c>
      <c r="K39" s="2">
        <v>111774912</v>
      </c>
      <c r="L39" s="2">
        <v>108346746</v>
      </c>
      <c r="M39" s="2">
        <v>126124336</v>
      </c>
      <c r="N39" s="2">
        <f>SUM(B39:M39)</f>
        <v>1330484490</v>
      </c>
    </row>
    <row r="40" spans="1:14" x14ac:dyDescent="0.2">
      <c r="A40" s="7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 t="s">
        <v>1</v>
      </c>
    </row>
    <row r="41" spans="1:14" x14ac:dyDescent="0.2">
      <c r="A41" s="7" t="s">
        <v>25</v>
      </c>
      <c r="B41" s="2">
        <v>131684308</v>
      </c>
      <c r="C41" s="2">
        <v>121805707</v>
      </c>
      <c r="D41" s="2">
        <v>123113388</v>
      </c>
      <c r="E41" s="2">
        <v>99667816</v>
      </c>
      <c r="F41" s="2">
        <v>93805806</v>
      </c>
      <c r="G41" s="2">
        <v>95435602</v>
      </c>
      <c r="H41" s="2">
        <v>104609966</v>
      </c>
      <c r="I41" s="2">
        <v>104662588</v>
      </c>
      <c r="J41" s="2">
        <v>100246222</v>
      </c>
      <c r="K41" s="2">
        <v>111050240</v>
      </c>
      <c r="L41" s="2">
        <v>107993888</v>
      </c>
      <c r="M41" s="2">
        <v>125254349</v>
      </c>
      <c r="N41" s="2">
        <f t="shared" ref="N41:N46" si="14">SUM(B41:M41)</f>
        <v>1319329880</v>
      </c>
    </row>
    <row r="42" spans="1:14" x14ac:dyDescent="0.2">
      <c r="A42" s="7" t="s">
        <v>26</v>
      </c>
      <c r="B42" s="2">
        <v>2006867</v>
      </c>
      <c r="C42" s="2">
        <v>2066188</v>
      </c>
      <c r="D42" s="2">
        <v>2079115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f t="shared" si="14"/>
        <v>6152170</v>
      </c>
    </row>
    <row r="43" spans="1:14" x14ac:dyDescent="0.2">
      <c r="A43" s="7" t="s">
        <v>27</v>
      </c>
      <c r="B43" s="2">
        <v>-55872</v>
      </c>
      <c r="C43" s="2">
        <v>-162298</v>
      </c>
      <c r="D43" s="2">
        <v>84655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f t="shared" si="14"/>
        <v>-133515</v>
      </c>
    </row>
    <row r="44" spans="1:14" x14ac:dyDescent="0.2">
      <c r="A44" s="7" t="s">
        <v>28</v>
      </c>
      <c r="B44" s="2">
        <v>141296</v>
      </c>
      <c r="C44" s="2">
        <v>116750</v>
      </c>
      <c r="D44" s="2">
        <v>109120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f t="shared" si="14"/>
        <v>367166</v>
      </c>
    </row>
    <row r="45" spans="1:14" x14ac:dyDescent="0.2">
      <c r="A45" s="7" t="s">
        <v>20</v>
      </c>
      <c r="B45" s="2">
        <f t="shared" ref="B45:M45" si="15">SUM(B41:B44)</f>
        <v>133776599</v>
      </c>
      <c r="C45" s="2">
        <f t="shared" si="15"/>
        <v>123826347</v>
      </c>
      <c r="D45" s="2">
        <f t="shared" si="15"/>
        <v>125386278</v>
      </c>
      <c r="E45" s="2">
        <f t="shared" si="15"/>
        <v>99667816</v>
      </c>
      <c r="F45" s="2">
        <f t="shared" si="15"/>
        <v>93805806</v>
      </c>
      <c r="G45" s="2">
        <f t="shared" si="15"/>
        <v>95435602</v>
      </c>
      <c r="H45" s="2">
        <f t="shared" si="15"/>
        <v>104609966</v>
      </c>
      <c r="I45" s="2">
        <f t="shared" si="15"/>
        <v>104662588</v>
      </c>
      <c r="J45" s="2">
        <f t="shared" si="15"/>
        <v>100246222</v>
      </c>
      <c r="K45" s="2">
        <f t="shared" si="15"/>
        <v>111050240</v>
      </c>
      <c r="L45" s="2">
        <f t="shared" si="15"/>
        <v>107993888</v>
      </c>
      <c r="M45" s="2">
        <f t="shared" si="15"/>
        <v>125254349</v>
      </c>
      <c r="N45" s="2">
        <f t="shared" si="14"/>
        <v>1325715701</v>
      </c>
    </row>
    <row r="46" spans="1:14" x14ac:dyDescent="0.2">
      <c r="A46" s="7" t="s">
        <v>30</v>
      </c>
      <c r="B46" s="2">
        <f t="shared" ref="B46:M46" si="16">-B39+B45</f>
        <v>-412492</v>
      </c>
      <c r="C46" s="2">
        <f t="shared" si="16"/>
        <v>-64582</v>
      </c>
      <c r="D46" s="2">
        <f t="shared" si="16"/>
        <v>-436480</v>
      </c>
      <c r="E46" s="2">
        <f t="shared" si="16"/>
        <v>-50158</v>
      </c>
      <c r="F46" s="2">
        <f t="shared" si="16"/>
        <v>-204639</v>
      </c>
      <c r="G46" s="2">
        <f t="shared" si="16"/>
        <v>-279267</v>
      </c>
      <c r="H46" s="2">
        <f t="shared" si="16"/>
        <v>-600600</v>
      </c>
      <c r="I46" s="2">
        <f t="shared" si="16"/>
        <v>-394600</v>
      </c>
      <c r="J46" s="2">
        <f t="shared" si="16"/>
        <v>-378454</v>
      </c>
      <c r="K46" s="2">
        <f t="shared" si="16"/>
        <v>-724672</v>
      </c>
      <c r="L46" s="2">
        <f t="shared" si="16"/>
        <v>-352858</v>
      </c>
      <c r="M46" s="2">
        <f t="shared" si="16"/>
        <v>-869987</v>
      </c>
      <c r="N46" s="2">
        <f t="shared" si="14"/>
        <v>-4768789</v>
      </c>
    </row>
    <row r="47" spans="1:14" x14ac:dyDescent="0.2">
      <c r="A47" s="9" t="s">
        <v>22</v>
      </c>
      <c r="B47" s="10">
        <f t="shared" ref="B47:N47" si="17">B46/B39</f>
        <v>-3.0739607588518504E-3</v>
      </c>
      <c r="C47" s="10">
        <f t="shared" si="17"/>
        <v>-5.2128110202483027E-4</v>
      </c>
      <c r="D47" s="10">
        <f t="shared" si="17"/>
        <v>-3.4690067753879628E-3</v>
      </c>
      <c r="E47" s="10">
        <f t="shared" si="17"/>
        <v>-5.0299858679439275E-4</v>
      </c>
      <c r="F47" s="10">
        <f t="shared" si="17"/>
        <v>-2.1767687622370048E-3</v>
      </c>
      <c r="G47" s="10">
        <f t="shared" si="17"/>
        <v>-2.917697144839638E-3</v>
      </c>
      <c r="H47" s="10">
        <f t="shared" si="17"/>
        <v>-5.7085521239378179E-3</v>
      </c>
      <c r="I47" s="10">
        <f t="shared" si="17"/>
        <v>-3.7560495146700479E-3</v>
      </c>
      <c r="J47" s="10">
        <f t="shared" si="17"/>
        <v>-3.7610456504724547E-3</v>
      </c>
      <c r="K47" s="10">
        <f t="shared" si="17"/>
        <v>-6.4833153257145932E-3</v>
      </c>
      <c r="L47" s="10">
        <f t="shared" si="17"/>
        <v>-3.2567475538213212E-3</v>
      </c>
      <c r="M47" s="10">
        <f t="shared" si="17"/>
        <v>-6.897851973627041E-3</v>
      </c>
      <c r="N47" s="10">
        <f t="shared" si="17"/>
        <v>-3.5842499749846766E-3</v>
      </c>
    </row>
  </sheetData>
  <phoneticPr fontId="6" type="noConversion"/>
  <printOptions gridLines="1" gridLinesSet="0"/>
  <pageMargins left="0.5" right="0.5" top="0.75" bottom="0.25" header="0.5" footer="0.5"/>
  <pageSetup scale="85" orientation="landscape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7"/>
  <sheetViews>
    <sheetView zoomScale="90" workbookViewId="0"/>
  </sheetViews>
  <sheetFormatPr defaultRowHeight="12.75" x14ac:dyDescent="0.2"/>
  <cols>
    <col min="1" max="1" width="18.42578125" style="6" customWidth="1"/>
    <col min="2" max="2" width="11.85546875" style="6" hidden="1" customWidth="1"/>
    <col min="3" max="3" width="11.42578125" style="6" hidden="1" customWidth="1"/>
    <col min="4" max="4" width="11.140625" style="6" hidden="1" customWidth="1"/>
    <col min="5" max="5" width="12.140625" style="6" hidden="1" customWidth="1"/>
    <col min="6" max="6" width="11.42578125" style="6" hidden="1" customWidth="1"/>
    <col min="7" max="7" width="11.85546875" style="6" hidden="1" customWidth="1"/>
    <col min="8" max="8" width="11.42578125" style="6" hidden="1" customWidth="1"/>
    <col min="9" max="9" width="11" style="6" hidden="1" customWidth="1"/>
    <col min="10" max="10" width="12.5703125" style="6" hidden="1" customWidth="1"/>
    <col min="11" max="11" width="11.7109375" style="6" hidden="1" customWidth="1"/>
    <col min="12" max="12" width="12" style="6" customWidth="1"/>
    <col min="13" max="23" width="12.42578125" style="6" customWidth="1"/>
    <col min="24" max="24" width="13.28515625" style="6" customWidth="1"/>
    <col min="25" max="16384" width="9.140625" style="6"/>
  </cols>
  <sheetData>
    <row r="1" spans="1:24" ht="12" customHeight="1" x14ac:dyDescent="0.2">
      <c r="A1" s="1" t="s">
        <v>0</v>
      </c>
      <c r="B1" s="2"/>
      <c r="C1" s="2"/>
      <c r="D1" s="2"/>
      <c r="E1" s="2"/>
      <c r="F1" s="2"/>
      <c r="G1" s="2"/>
      <c r="H1" s="11" t="s">
        <v>2</v>
      </c>
      <c r="I1" s="3">
        <f ca="1">NOW()</f>
        <v>37309.526042592595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2" customHeight="1" x14ac:dyDescent="0.2">
      <c r="A2" s="1" t="s">
        <v>29</v>
      </c>
      <c r="B2" s="2"/>
      <c r="C2" s="2"/>
      <c r="D2" s="2"/>
      <c r="E2" s="2"/>
      <c r="F2" s="2"/>
      <c r="G2" s="2"/>
      <c r="H2" s="2" t="s">
        <v>48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2" customHeight="1" x14ac:dyDescent="0.2">
      <c r="A3" s="1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2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2" customHeight="1" x14ac:dyDescent="0.2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2"/>
    </row>
    <row r="6" spans="1:24" ht="12" customHeight="1" x14ac:dyDescent="0.25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spans="1:24" ht="12" customHeight="1" x14ac:dyDescent="0.25">
      <c r="A7" s="14"/>
    </row>
    <row r="8" spans="1:24" ht="12" customHeight="1" x14ac:dyDescent="0.25">
      <c r="A8" s="1"/>
      <c r="B8" s="4" t="s">
        <v>4</v>
      </c>
      <c r="C8" s="4" t="s">
        <v>5</v>
      </c>
      <c r="D8" s="4" t="s">
        <v>6</v>
      </c>
      <c r="E8" s="4" t="s">
        <v>7</v>
      </c>
      <c r="F8" s="4" t="s">
        <v>8</v>
      </c>
      <c r="G8" s="4" t="s">
        <v>9</v>
      </c>
      <c r="H8" s="4" t="s">
        <v>10</v>
      </c>
      <c r="I8" s="4" t="s">
        <v>11</v>
      </c>
      <c r="J8" s="4" t="s">
        <v>12</v>
      </c>
      <c r="K8" s="4" t="s">
        <v>13</v>
      </c>
      <c r="L8" s="4" t="s">
        <v>14</v>
      </c>
      <c r="M8" s="4" t="s">
        <v>15</v>
      </c>
      <c r="N8" s="4" t="s">
        <v>4</v>
      </c>
      <c r="O8" s="4" t="s">
        <v>5</v>
      </c>
      <c r="P8" s="4" t="s">
        <v>6</v>
      </c>
      <c r="Q8" s="4" t="s">
        <v>7</v>
      </c>
      <c r="R8" s="4" t="s">
        <v>8</v>
      </c>
      <c r="S8" s="4" t="s">
        <v>9</v>
      </c>
      <c r="T8" s="4" t="s">
        <v>10</v>
      </c>
      <c r="U8" s="4" t="s">
        <v>11</v>
      </c>
      <c r="V8" s="4" t="s">
        <v>12</v>
      </c>
      <c r="W8" s="4" t="s">
        <v>13</v>
      </c>
      <c r="X8" s="5" t="s">
        <v>16</v>
      </c>
    </row>
    <row r="9" spans="1:24" ht="12" customHeight="1" x14ac:dyDescent="0.25">
      <c r="A9" s="1"/>
      <c r="B9" s="4">
        <v>2000</v>
      </c>
      <c r="C9" s="4">
        <v>2000</v>
      </c>
      <c r="D9" s="4">
        <v>2000</v>
      </c>
      <c r="E9" s="4">
        <v>2000</v>
      </c>
      <c r="F9" s="4">
        <v>2000</v>
      </c>
      <c r="G9" s="4">
        <v>2000</v>
      </c>
      <c r="H9" s="4">
        <v>2000</v>
      </c>
      <c r="I9" s="4">
        <v>2000</v>
      </c>
      <c r="J9" s="4">
        <v>2000</v>
      </c>
      <c r="K9" s="4">
        <v>2001</v>
      </c>
      <c r="L9" s="4">
        <v>2001</v>
      </c>
      <c r="M9" s="4">
        <v>2001</v>
      </c>
      <c r="N9" s="4">
        <v>2001</v>
      </c>
      <c r="O9" s="4">
        <v>2001</v>
      </c>
      <c r="P9" s="4">
        <v>2001</v>
      </c>
      <c r="Q9" s="4">
        <v>2001</v>
      </c>
      <c r="R9" s="4">
        <v>2001</v>
      </c>
      <c r="S9" s="4">
        <v>2001</v>
      </c>
      <c r="T9" s="4">
        <v>2001</v>
      </c>
      <c r="U9" s="4">
        <v>2001</v>
      </c>
      <c r="V9" s="4">
        <v>2001</v>
      </c>
      <c r="W9" s="4">
        <v>2002</v>
      </c>
      <c r="X9" s="5" t="s">
        <v>17</v>
      </c>
    </row>
    <row r="10" spans="1:24" ht="12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2" customHeight="1" x14ac:dyDescent="0.25">
      <c r="A11" s="7" t="s">
        <v>18</v>
      </c>
      <c r="B11" s="2">
        <v>264736025</v>
      </c>
      <c r="C11" s="2">
        <v>238071405</v>
      </c>
      <c r="D11" s="2">
        <v>218658444</v>
      </c>
      <c r="E11" s="2">
        <v>223482056</v>
      </c>
      <c r="F11" s="2">
        <v>230223503</v>
      </c>
      <c r="G11" s="2">
        <v>238858380</v>
      </c>
      <c r="H11" s="2">
        <v>269939084</v>
      </c>
      <c r="I11" s="2">
        <v>317732541</v>
      </c>
      <c r="J11" s="2">
        <v>378284649</v>
      </c>
      <c r="K11" s="2">
        <v>309193408</v>
      </c>
      <c r="L11" s="2">
        <v>317537668</v>
      </c>
      <c r="M11" s="2">
        <v>315178975</v>
      </c>
      <c r="N11" s="2">
        <f>99717974+142409684</f>
        <v>242127658</v>
      </c>
      <c r="O11" s="2">
        <f>94010445+127465912</f>
        <v>221476357</v>
      </c>
      <c r="P11" s="2">
        <f>95714869+121832472</f>
        <v>217547341</v>
      </c>
      <c r="Q11" s="2">
        <f>105210566+141925661</f>
        <v>247136227</v>
      </c>
      <c r="R11" s="2">
        <f>105057188+133818236</f>
        <v>238875424</v>
      </c>
      <c r="S11" s="2">
        <f>100624676+129935740</f>
        <v>230560416</v>
      </c>
      <c r="T11" s="2">
        <f>111774912+180360920</f>
        <v>292135832</v>
      </c>
      <c r="U11" s="2">
        <f>108346746+166754508</f>
        <v>275101254</v>
      </c>
      <c r="V11" s="2">
        <f>126124336+187281009</f>
        <v>313405345</v>
      </c>
      <c r="W11" s="8">
        <f>134965386+188706524</f>
        <v>323671910</v>
      </c>
      <c r="X11" s="16">
        <f>SUM(L11:W11)</f>
        <v>3234754407</v>
      </c>
    </row>
    <row r="12" spans="1:24" ht="12" customHeight="1" x14ac:dyDescent="0.25">
      <c r="A12" s="7" t="s">
        <v>19</v>
      </c>
      <c r="B12" s="2">
        <v>261869280</v>
      </c>
      <c r="C12" s="2">
        <v>236208060</v>
      </c>
      <c r="D12" s="2">
        <v>216410637</v>
      </c>
      <c r="E12" s="2">
        <v>221725930</v>
      </c>
      <c r="F12" s="2">
        <v>228125235</v>
      </c>
      <c r="G12" s="2">
        <v>237123161</v>
      </c>
      <c r="H12" s="2">
        <v>268039685</v>
      </c>
      <c r="I12" s="2">
        <v>315403855</v>
      </c>
      <c r="J12" s="2">
        <v>375190523</v>
      </c>
      <c r="K12" s="2">
        <v>306688625</v>
      </c>
      <c r="L12" s="2">
        <v>315452446</v>
      </c>
      <c r="M12" s="2">
        <v>312469605</v>
      </c>
      <c r="N12" s="2">
        <f>99667816+142409684</f>
        <v>242077500</v>
      </c>
      <c r="O12" s="2">
        <f>93805806+127465912</f>
        <v>221271718</v>
      </c>
      <c r="P12" s="2">
        <f>95435602+121832472</f>
        <v>217268074</v>
      </c>
      <c r="Q12" s="2">
        <f>104609966+141925661</f>
        <v>246535627</v>
      </c>
      <c r="R12" s="2">
        <f>104662588+133818236</f>
        <v>238480824</v>
      </c>
      <c r="S12" s="2">
        <f>100246222+129935740</f>
        <v>230181962</v>
      </c>
      <c r="T12" s="2">
        <f>111050240+180360920</f>
        <v>291411160</v>
      </c>
      <c r="U12" s="2">
        <f>107993888+166754508</f>
        <v>274748396</v>
      </c>
      <c r="V12" s="2">
        <f>125254349+187281009</f>
        <v>312535358</v>
      </c>
      <c r="W12" s="8">
        <f>134138161+188706524</f>
        <v>322844685</v>
      </c>
      <c r="X12" s="16">
        <f>SUM(L12:W12)</f>
        <v>3225277355</v>
      </c>
    </row>
    <row r="13" spans="1:24" ht="12" customHeight="1" x14ac:dyDescent="0.2">
      <c r="A13" s="7" t="s">
        <v>20</v>
      </c>
      <c r="B13" s="2">
        <f t="shared" ref="B13:W13" si="0">+B12+B22+B23+B24</f>
        <v>264394918</v>
      </c>
      <c r="C13" s="2">
        <f t="shared" si="0"/>
        <v>237976464</v>
      </c>
      <c r="D13" s="2">
        <f t="shared" si="0"/>
        <v>218346083</v>
      </c>
      <c r="E13" s="2">
        <f t="shared" si="0"/>
        <v>223859803</v>
      </c>
      <c r="F13" s="2">
        <f t="shared" si="0"/>
        <v>229693649</v>
      </c>
      <c r="G13" s="2">
        <f t="shared" si="0"/>
        <v>239236200</v>
      </c>
      <c r="H13" s="2">
        <f t="shared" si="0"/>
        <v>270095595</v>
      </c>
      <c r="I13" s="2">
        <f t="shared" si="0"/>
        <v>317836229</v>
      </c>
      <c r="J13" s="2">
        <f t="shared" si="0"/>
        <v>377825541</v>
      </c>
      <c r="K13" s="2">
        <f t="shared" si="0"/>
        <v>308780916</v>
      </c>
      <c r="L13" s="2">
        <f t="shared" si="0"/>
        <v>317473086</v>
      </c>
      <c r="M13" s="2">
        <f t="shared" si="0"/>
        <v>314742495</v>
      </c>
      <c r="N13" s="2">
        <f t="shared" si="0"/>
        <v>242077500</v>
      </c>
      <c r="O13" s="2">
        <f t="shared" si="0"/>
        <v>221271718</v>
      </c>
      <c r="P13" s="2">
        <f t="shared" si="0"/>
        <v>217268074</v>
      </c>
      <c r="Q13" s="2">
        <f t="shared" si="0"/>
        <v>246535627</v>
      </c>
      <c r="R13" s="2">
        <f t="shared" si="0"/>
        <v>238480824</v>
      </c>
      <c r="S13" s="2">
        <f t="shared" si="0"/>
        <v>230181962</v>
      </c>
      <c r="T13" s="2">
        <f t="shared" si="0"/>
        <v>291411160</v>
      </c>
      <c r="U13" s="2">
        <f t="shared" si="0"/>
        <v>274748396</v>
      </c>
      <c r="V13" s="2">
        <f t="shared" si="0"/>
        <v>312535358</v>
      </c>
      <c r="W13" s="2">
        <f t="shared" si="0"/>
        <v>322844685</v>
      </c>
      <c r="X13" s="16">
        <f>SUM(L13:W13)</f>
        <v>3229570885</v>
      </c>
    </row>
    <row r="14" spans="1:24" ht="12" customHeight="1" x14ac:dyDescent="0.2">
      <c r="A14" s="7" t="s">
        <v>21</v>
      </c>
      <c r="B14" s="2">
        <f t="shared" ref="B14:W14" si="1">-B11+B13</f>
        <v>-341107</v>
      </c>
      <c r="C14" s="2">
        <f t="shared" si="1"/>
        <v>-94941</v>
      </c>
      <c r="D14" s="2">
        <f t="shared" si="1"/>
        <v>-312361</v>
      </c>
      <c r="E14" s="2">
        <f t="shared" si="1"/>
        <v>377747</v>
      </c>
      <c r="F14" s="2">
        <f t="shared" si="1"/>
        <v>-529854</v>
      </c>
      <c r="G14" s="2">
        <f t="shared" si="1"/>
        <v>377820</v>
      </c>
      <c r="H14" s="2">
        <f t="shared" si="1"/>
        <v>156511</v>
      </c>
      <c r="I14" s="2">
        <f t="shared" si="1"/>
        <v>103688</v>
      </c>
      <c r="J14" s="2">
        <f t="shared" si="1"/>
        <v>-459108</v>
      </c>
      <c r="K14" s="2">
        <f t="shared" si="1"/>
        <v>-412492</v>
      </c>
      <c r="L14" s="2">
        <f t="shared" si="1"/>
        <v>-64582</v>
      </c>
      <c r="M14" s="2">
        <f t="shared" si="1"/>
        <v>-436480</v>
      </c>
      <c r="N14" s="2">
        <f t="shared" si="1"/>
        <v>-50158</v>
      </c>
      <c r="O14" s="2">
        <f t="shared" si="1"/>
        <v>-204639</v>
      </c>
      <c r="P14" s="2">
        <f t="shared" si="1"/>
        <v>-279267</v>
      </c>
      <c r="Q14" s="2">
        <f t="shared" si="1"/>
        <v>-600600</v>
      </c>
      <c r="R14" s="2">
        <f t="shared" si="1"/>
        <v>-394600</v>
      </c>
      <c r="S14" s="2">
        <f t="shared" si="1"/>
        <v>-378454</v>
      </c>
      <c r="T14" s="2">
        <f t="shared" si="1"/>
        <v>-724672</v>
      </c>
      <c r="U14" s="2">
        <f t="shared" si="1"/>
        <v>-352858</v>
      </c>
      <c r="V14" s="2">
        <f t="shared" si="1"/>
        <v>-869987</v>
      </c>
      <c r="W14" s="2">
        <f t="shared" si="1"/>
        <v>-827225</v>
      </c>
      <c r="X14" s="16">
        <f>SUM(L14:W14)</f>
        <v>-5183522</v>
      </c>
    </row>
    <row r="15" spans="1:24" ht="12" customHeight="1" x14ac:dyDescent="0.2">
      <c r="A15" s="9" t="s">
        <v>22</v>
      </c>
      <c r="B15" s="10">
        <f>2*B14/(B11+B13)</f>
        <v>-1.2893103475144904E-3</v>
      </c>
      <c r="C15" s="10">
        <f>2*C14/(C11+C13)</f>
        <v>-3.9887165212790818E-4</v>
      </c>
      <c r="D15" s="10">
        <f>2*D14/(D11+D13)</f>
        <v>-1.4295549849075134E-3</v>
      </c>
      <c r="E15" s="10">
        <f>2*E14/(E11+E13)</f>
        <v>1.6888515679906449E-3</v>
      </c>
      <c r="F15" s="10">
        <f>2*F14/(F11+F13)</f>
        <v>-2.3041280269538631E-3</v>
      </c>
      <c r="G15" s="10">
        <f t="shared" ref="G15:X15" si="2">G14/G11</f>
        <v>1.5817741039690547E-3</v>
      </c>
      <c r="H15" s="10">
        <f t="shared" si="2"/>
        <v>5.7980118210670083E-4</v>
      </c>
      <c r="I15" s="10">
        <f t="shared" si="2"/>
        <v>3.2633736435576485E-4</v>
      </c>
      <c r="J15" s="10">
        <f t="shared" si="2"/>
        <v>-1.2136574963156912E-3</v>
      </c>
      <c r="K15" s="10">
        <f t="shared" si="2"/>
        <v>-1.3340905379198771E-3</v>
      </c>
      <c r="L15" s="10">
        <f t="shared" si="2"/>
        <v>-2.03383744696393E-4</v>
      </c>
      <c r="M15" s="10">
        <f t="shared" si="2"/>
        <v>-1.3848639491260482E-3</v>
      </c>
      <c r="N15" s="10">
        <f t="shared" si="2"/>
        <v>-2.0715518588132546E-4</v>
      </c>
      <c r="O15" s="10">
        <f t="shared" si="2"/>
        <v>-9.2397672948900812E-4</v>
      </c>
      <c r="P15" s="10">
        <f t="shared" si="2"/>
        <v>-1.2837067955705328E-3</v>
      </c>
      <c r="Q15" s="10">
        <f t="shared" si="2"/>
        <v>-2.4302386068231104E-3</v>
      </c>
      <c r="R15" s="10">
        <f t="shared" si="2"/>
        <v>-1.6519070626537118E-3</v>
      </c>
      <c r="S15" s="10">
        <f t="shared" si="2"/>
        <v>-1.641452624721149E-3</v>
      </c>
      <c r="T15" s="10">
        <f t="shared" si="2"/>
        <v>-2.4805995041375139E-3</v>
      </c>
      <c r="U15" s="10">
        <f t="shared" si="2"/>
        <v>-1.2826477337686E-3</v>
      </c>
      <c r="V15" s="10">
        <f t="shared" si="2"/>
        <v>-2.7759162818362273E-3</v>
      </c>
      <c r="W15" s="10">
        <f t="shared" si="2"/>
        <v>-2.5557515942609909E-3</v>
      </c>
      <c r="X15" s="17">
        <f t="shared" si="2"/>
        <v>-1.602446846902155E-3</v>
      </c>
    </row>
    <row r="16" spans="1:24" ht="12" customHeight="1" x14ac:dyDescent="0.2">
      <c r="A16" s="7" t="s">
        <v>23</v>
      </c>
      <c r="B16" s="2">
        <f>-B11+B13</f>
        <v>-341107</v>
      </c>
      <c r="C16" s="2">
        <f t="shared" ref="C16:J16" si="3">-C11+C13</f>
        <v>-94941</v>
      </c>
      <c r="D16" s="2">
        <f t="shared" si="3"/>
        <v>-312361</v>
      </c>
      <c r="E16" s="2">
        <f t="shared" si="3"/>
        <v>377747</v>
      </c>
      <c r="F16" s="2">
        <f t="shared" si="3"/>
        <v>-529854</v>
      </c>
      <c r="G16" s="2">
        <f t="shared" si="3"/>
        <v>377820</v>
      </c>
      <c r="H16" s="2">
        <f t="shared" si="3"/>
        <v>156511</v>
      </c>
      <c r="I16" s="2">
        <f t="shared" si="3"/>
        <v>103688</v>
      </c>
      <c r="J16" s="2">
        <f t="shared" si="3"/>
        <v>-459108</v>
      </c>
      <c r="K16" s="2">
        <f>-K11+K13</f>
        <v>-412492</v>
      </c>
      <c r="L16" s="2">
        <f t="shared" ref="L16:S16" si="4">-L11+L13</f>
        <v>-64582</v>
      </c>
      <c r="M16" s="2">
        <f t="shared" si="4"/>
        <v>-436480</v>
      </c>
      <c r="N16" s="2">
        <f t="shared" si="4"/>
        <v>-50158</v>
      </c>
      <c r="O16" s="2">
        <f t="shared" si="4"/>
        <v>-204639</v>
      </c>
      <c r="P16" s="2">
        <f t="shared" si="4"/>
        <v>-279267</v>
      </c>
      <c r="Q16" s="2">
        <f t="shared" si="4"/>
        <v>-600600</v>
      </c>
      <c r="R16" s="2">
        <f t="shared" si="4"/>
        <v>-394600</v>
      </c>
      <c r="S16" s="2">
        <f t="shared" si="4"/>
        <v>-378454</v>
      </c>
      <c r="T16" s="2">
        <f>-T11+T13</f>
        <v>-724672</v>
      </c>
      <c r="U16" s="2">
        <f>-U11+U13</f>
        <v>-352858</v>
      </c>
      <c r="V16" s="2">
        <f>-V11+V13</f>
        <v>-869987</v>
      </c>
      <c r="W16" s="2">
        <f>-W11+W13</f>
        <v>-827225</v>
      </c>
      <c r="X16" s="16">
        <f>SUM(L16:W16)</f>
        <v>-5183522</v>
      </c>
    </row>
    <row r="17" spans="1:24" ht="12" customHeight="1" x14ac:dyDescent="0.2">
      <c r="A17" s="9" t="s">
        <v>22</v>
      </c>
      <c r="B17" s="10">
        <f>2*B16/(B11+B13)</f>
        <v>-1.2893103475144904E-3</v>
      </c>
      <c r="C17" s="10">
        <f>2*C16/(C11+C13)</f>
        <v>-3.9887165212790818E-4</v>
      </c>
      <c r="D17" s="10">
        <f>2*D16/(D11+D13)</f>
        <v>-1.4295549849075134E-3</v>
      </c>
      <c r="E17" s="10">
        <f>2*E16/(E11+E13)</f>
        <v>1.6888515679906449E-3</v>
      </c>
      <c r="F17" s="10">
        <f>2*F16/(F11+F13)</f>
        <v>-2.3041280269538631E-3</v>
      </c>
      <c r="G17" s="10">
        <f t="shared" ref="G17:V17" si="5">G16/G13</f>
        <v>1.5792760460164473E-3</v>
      </c>
      <c r="H17" s="10">
        <f t="shared" si="5"/>
        <v>5.7946520749440581E-4</v>
      </c>
      <c r="I17" s="10">
        <f t="shared" si="5"/>
        <v>3.2623090302270105E-4</v>
      </c>
      <c r="J17" s="10">
        <f t="shared" si="5"/>
        <v>-1.2151322506807447E-3</v>
      </c>
      <c r="K17" s="10">
        <f t="shared" si="5"/>
        <v>-1.335872713066244E-3</v>
      </c>
      <c r="L17" s="10">
        <f t="shared" si="5"/>
        <v>-2.0342511805866907E-4</v>
      </c>
      <c r="M17" s="10">
        <f t="shared" si="5"/>
        <v>-1.3867844569256528E-3</v>
      </c>
      <c r="N17" s="10">
        <f t="shared" si="5"/>
        <v>-2.0719810804391156E-4</v>
      </c>
      <c r="O17" s="10">
        <f t="shared" si="5"/>
        <v>-9.2483125204460153E-4</v>
      </c>
      <c r="P17" s="10">
        <f t="shared" si="5"/>
        <v>-1.2853568168510574E-3</v>
      </c>
      <c r="Q17" s="10">
        <f t="shared" si="5"/>
        <v>-2.4361590546099856E-3</v>
      </c>
      <c r="R17" s="10">
        <f t="shared" si="5"/>
        <v>-1.6546403747749548E-3</v>
      </c>
      <c r="S17" s="10">
        <f t="shared" si="5"/>
        <v>-1.6441514213872241E-3</v>
      </c>
      <c r="T17" s="10">
        <f t="shared" si="5"/>
        <v>-2.4867681800518552E-3</v>
      </c>
      <c r="U17" s="10">
        <f t="shared" si="5"/>
        <v>-1.2842950318807322E-3</v>
      </c>
      <c r="V17" s="10">
        <f t="shared" si="5"/>
        <v>-2.7836434429924567E-3</v>
      </c>
      <c r="W17" s="10">
        <f>W16/W11</f>
        <v>-2.5557515942609909E-3</v>
      </c>
      <c r="X17" s="17">
        <f>X16/X11</f>
        <v>-1.602446846902155E-3</v>
      </c>
    </row>
    <row r="18" spans="1:24" ht="12" customHeight="1" x14ac:dyDescent="0.25">
      <c r="A18" s="7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W18" s="14"/>
      <c r="X18" s="16" t="s">
        <v>1</v>
      </c>
    </row>
    <row r="19" spans="1:24" ht="12" customHeight="1" x14ac:dyDescent="0.2">
      <c r="A19" s="7" t="s">
        <v>24</v>
      </c>
      <c r="B19" s="2">
        <v>109021045</v>
      </c>
      <c r="C19" s="2">
        <v>104397477</v>
      </c>
      <c r="D19" s="2">
        <v>93951694</v>
      </c>
      <c r="E19" s="2">
        <v>101266797</v>
      </c>
      <c r="F19" s="2">
        <v>102814096</v>
      </c>
      <c r="G19" s="2">
        <v>106572865</v>
      </c>
      <c r="H19" s="2">
        <v>113468501</v>
      </c>
      <c r="I19" s="2">
        <v>130371967</v>
      </c>
      <c r="J19" s="2">
        <v>153792963</v>
      </c>
      <c r="K19" s="2">
        <v>134189091</v>
      </c>
      <c r="L19" s="2">
        <v>123890929</v>
      </c>
      <c r="M19" s="2">
        <v>125822758</v>
      </c>
      <c r="N19" s="2">
        <v>99717974</v>
      </c>
      <c r="O19" s="2">
        <v>94010445</v>
      </c>
      <c r="P19" s="2">
        <v>95714869</v>
      </c>
      <c r="Q19" s="2">
        <v>105210566</v>
      </c>
      <c r="R19" s="2">
        <v>105057188</v>
      </c>
      <c r="S19" s="2">
        <v>100624676</v>
      </c>
      <c r="T19" s="2">
        <v>111774912</v>
      </c>
      <c r="U19" s="2">
        <v>108346746</v>
      </c>
      <c r="V19" s="2">
        <v>126124336</v>
      </c>
      <c r="W19" s="2">
        <v>134965386</v>
      </c>
      <c r="X19" s="16">
        <f>SUM(L19:W19)</f>
        <v>1331260785</v>
      </c>
    </row>
    <row r="20" spans="1:24" ht="12" customHeight="1" x14ac:dyDescent="0.2">
      <c r="A20" s="7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16" t="s">
        <v>1</v>
      </c>
    </row>
    <row r="21" spans="1:24" ht="12" customHeight="1" x14ac:dyDescent="0.2">
      <c r="A21" s="7" t="s">
        <v>25</v>
      </c>
      <c r="B21" s="2">
        <v>106154300</v>
      </c>
      <c r="C21" s="2">
        <v>102534132</v>
      </c>
      <c r="D21" s="2">
        <v>91676887</v>
      </c>
      <c r="E21" s="2">
        <v>99510671</v>
      </c>
      <c r="F21" s="2">
        <v>100715828</v>
      </c>
      <c r="G21" s="2">
        <v>104837646</v>
      </c>
      <c r="H21" s="2">
        <v>111569102</v>
      </c>
      <c r="I21" s="2">
        <v>128043281</v>
      </c>
      <c r="J21" s="2">
        <v>150698837</v>
      </c>
      <c r="K21" s="2">
        <v>131684308</v>
      </c>
      <c r="L21" s="2">
        <v>121805707</v>
      </c>
      <c r="M21" s="2">
        <v>123113388</v>
      </c>
      <c r="N21" s="2">
        <v>99667816</v>
      </c>
      <c r="O21" s="2">
        <v>93805806</v>
      </c>
      <c r="P21" s="2">
        <v>95435602</v>
      </c>
      <c r="Q21" s="2">
        <v>104609966</v>
      </c>
      <c r="R21" s="2">
        <v>104662588</v>
      </c>
      <c r="S21" s="2">
        <v>100246222</v>
      </c>
      <c r="T21" s="2">
        <v>111050240</v>
      </c>
      <c r="U21" s="2">
        <v>107993888</v>
      </c>
      <c r="V21" s="2">
        <v>125254349</v>
      </c>
      <c r="W21" s="2">
        <v>134138161</v>
      </c>
      <c r="X21" s="16">
        <f t="shared" ref="X21:X26" si="6">SUM(L21:W21)</f>
        <v>1321783733</v>
      </c>
    </row>
    <row r="22" spans="1:24" ht="12" customHeight="1" x14ac:dyDescent="0.2">
      <c r="A22" s="7" t="s">
        <v>26</v>
      </c>
      <c r="B22" s="2">
        <v>1996836</v>
      </c>
      <c r="C22" s="2">
        <v>1754601</v>
      </c>
      <c r="D22" s="2">
        <v>1584762</v>
      </c>
      <c r="E22" s="2">
        <v>1573207</v>
      </c>
      <c r="F22" s="2">
        <v>1630148</v>
      </c>
      <c r="G22" s="2">
        <v>1800184</v>
      </c>
      <c r="H22" s="2">
        <v>1893976</v>
      </c>
      <c r="I22" s="2">
        <v>2250282</v>
      </c>
      <c r="J22" s="2">
        <v>2561882</v>
      </c>
      <c r="K22" s="2">
        <v>2006867</v>
      </c>
      <c r="L22" s="2">
        <v>2066188</v>
      </c>
      <c r="M22" s="2">
        <v>2079115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16">
        <f t="shared" si="6"/>
        <v>4145303</v>
      </c>
    </row>
    <row r="23" spans="1:24" ht="12" customHeight="1" x14ac:dyDescent="0.2">
      <c r="A23" s="7" t="s">
        <v>27</v>
      </c>
      <c r="B23" s="2">
        <v>326931</v>
      </c>
      <c r="C23" s="2">
        <v>-178902</v>
      </c>
      <c r="D23" s="2">
        <v>200231</v>
      </c>
      <c r="E23" s="2">
        <v>461593</v>
      </c>
      <c r="F23" s="2">
        <v>-147789</v>
      </c>
      <c r="G23" s="2">
        <v>177964</v>
      </c>
      <c r="H23" s="2">
        <v>72651</v>
      </c>
      <c r="I23" s="2">
        <v>62705</v>
      </c>
      <c r="J23" s="2">
        <v>-72228</v>
      </c>
      <c r="K23" s="2">
        <v>-55872</v>
      </c>
      <c r="L23" s="2">
        <v>-162298</v>
      </c>
      <c r="M23" s="2">
        <v>84655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16">
        <f t="shared" si="6"/>
        <v>-77643</v>
      </c>
    </row>
    <row r="24" spans="1:24" ht="12" customHeight="1" x14ac:dyDescent="0.2">
      <c r="A24" s="7" t="s">
        <v>28</v>
      </c>
      <c r="B24" s="2">
        <v>201871</v>
      </c>
      <c r="C24" s="2">
        <v>192705</v>
      </c>
      <c r="D24" s="2">
        <v>150453</v>
      </c>
      <c r="E24" s="2">
        <v>99073</v>
      </c>
      <c r="F24" s="2">
        <v>86055</v>
      </c>
      <c r="G24" s="2">
        <v>134891</v>
      </c>
      <c r="H24" s="2">
        <v>89283</v>
      </c>
      <c r="I24" s="2">
        <v>119387</v>
      </c>
      <c r="J24" s="2">
        <v>145364</v>
      </c>
      <c r="K24" s="2">
        <v>141296</v>
      </c>
      <c r="L24" s="2">
        <v>116750</v>
      </c>
      <c r="M24" s="2">
        <v>109120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16">
        <f t="shared" si="6"/>
        <v>225870</v>
      </c>
    </row>
    <row r="25" spans="1:24" x14ac:dyDescent="0.2">
      <c r="A25" s="7" t="s">
        <v>20</v>
      </c>
      <c r="B25" s="2">
        <f t="shared" ref="B25:W25" si="7">SUM(B21:B24)</f>
        <v>108679938</v>
      </c>
      <c r="C25" s="2">
        <f t="shared" si="7"/>
        <v>104302536</v>
      </c>
      <c r="D25" s="2">
        <f t="shared" si="7"/>
        <v>93612333</v>
      </c>
      <c r="E25" s="2">
        <f t="shared" si="7"/>
        <v>101644544</v>
      </c>
      <c r="F25" s="2">
        <f t="shared" si="7"/>
        <v>102284242</v>
      </c>
      <c r="G25" s="2">
        <f t="shared" si="7"/>
        <v>106950685</v>
      </c>
      <c r="H25" s="2">
        <f t="shared" si="7"/>
        <v>113625012</v>
      </c>
      <c r="I25" s="2">
        <f t="shared" si="7"/>
        <v>130475655</v>
      </c>
      <c r="J25" s="2">
        <f t="shared" si="7"/>
        <v>153333855</v>
      </c>
      <c r="K25" s="2">
        <f t="shared" si="7"/>
        <v>133776599</v>
      </c>
      <c r="L25" s="2">
        <f t="shared" si="7"/>
        <v>123826347</v>
      </c>
      <c r="M25" s="2">
        <f t="shared" si="7"/>
        <v>125386278</v>
      </c>
      <c r="N25" s="2">
        <f t="shared" si="7"/>
        <v>99667816</v>
      </c>
      <c r="O25" s="2">
        <f t="shared" si="7"/>
        <v>93805806</v>
      </c>
      <c r="P25" s="2">
        <f t="shared" si="7"/>
        <v>95435602</v>
      </c>
      <c r="Q25" s="2">
        <f t="shared" si="7"/>
        <v>104609966</v>
      </c>
      <c r="R25" s="2">
        <f t="shared" si="7"/>
        <v>104662588</v>
      </c>
      <c r="S25" s="2">
        <f t="shared" si="7"/>
        <v>100246222</v>
      </c>
      <c r="T25" s="2">
        <f t="shared" si="7"/>
        <v>111050240</v>
      </c>
      <c r="U25" s="2">
        <f t="shared" si="7"/>
        <v>107993888</v>
      </c>
      <c r="V25" s="2">
        <f t="shared" si="7"/>
        <v>125254349</v>
      </c>
      <c r="W25" s="2">
        <f t="shared" si="7"/>
        <v>134138161</v>
      </c>
      <c r="X25" s="16">
        <f t="shared" si="6"/>
        <v>1326077263</v>
      </c>
    </row>
    <row r="26" spans="1:24" x14ac:dyDescent="0.2">
      <c r="A26" s="7" t="s">
        <v>30</v>
      </c>
      <c r="B26" s="2">
        <f t="shared" ref="B26:W26" si="8">-B19+B25</f>
        <v>-341107</v>
      </c>
      <c r="C26" s="2">
        <f t="shared" si="8"/>
        <v>-94941</v>
      </c>
      <c r="D26" s="2">
        <f t="shared" si="8"/>
        <v>-339361</v>
      </c>
      <c r="E26" s="2">
        <f t="shared" si="8"/>
        <v>377747</v>
      </c>
      <c r="F26" s="2">
        <f t="shared" si="8"/>
        <v>-529854</v>
      </c>
      <c r="G26" s="2">
        <f t="shared" si="8"/>
        <v>377820</v>
      </c>
      <c r="H26" s="2">
        <f t="shared" si="8"/>
        <v>156511</v>
      </c>
      <c r="I26" s="2">
        <f t="shared" si="8"/>
        <v>103688</v>
      </c>
      <c r="J26" s="2">
        <f t="shared" si="8"/>
        <v>-459108</v>
      </c>
      <c r="K26" s="2">
        <f t="shared" si="8"/>
        <v>-412492</v>
      </c>
      <c r="L26" s="2">
        <f t="shared" si="8"/>
        <v>-64582</v>
      </c>
      <c r="M26" s="2">
        <f t="shared" si="8"/>
        <v>-436480</v>
      </c>
      <c r="N26" s="2">
        <f t="shared" si="8"/>
        <v>-50158</v>
      </c>
      <c r="O26" s="2">
        <f t="shared" si="8"/>
        <v>-204639</v>
      </c>
      <c r="P26" s="2">
        <f t="shared" si="8"/>
        <v>-279267</v>
      </c>
      <c r="Q26" s="2">
        <f t="shared" si="8"/>
        <v>-600600</v>
      </c>
      <c r="R26" s="2">
        <f t="shared" si="8"/>
        <v>-394600</v>
      </c>
      <c r="S26" s="2">
        <f t="shared" si="8"/>
        <v>-378454</v>
      </c>
      <c r="T26" s="2">
        <f t="shared" si="8"/>
        <v>-724672</v>
      </c>
      <c r="U26" s="2">
        <f t="shared" si="8"/>
        <v>-352858</v>
      </c>
      <c r="V26" s="2">
        <f t="shared" si="8"/>
        <v>-869987</v>
      </c>
      <c r="W26" s="2">
        <f t="shared" si="8"/>
        <v>-827225</v>
      </c>
      <c r="X26" s="16">
        <f t="shared" si="6"/>
        <v>-5183522</v>
      </c>
    </row>
    <row r="27" spans="1:24" x14ac:dyDescent="0.2">
      <c r="A27" s="9" t="s">
        <v>22</v>
      </c>
      <c r="B27" s="10">
        <f>2*B26/(B19+B25)</f>
        <v>-3.1337203470505229E-3</v>
      </c>
      <c r="C27" s="10">
        <f>2*C26/(C19+C25)</f>
        <v>-9.0983223848673162E-4</v>
      </c>
      <c r="D27" s="10">
        <f>2*D26/(D19+D25)</f>
        <v>-3.6186149916689514E-3</v>
      </c>
      <c r="E27" s="10">
        <f>2*E26/(E19+E25)</f>
        <v>3.7232714360701997E-3</v>
      </c>
      <c r="F27" s="10">
        <f>2*F26/(F19+F25)</f>
        <v>-5.1668288018989214E-3</v>
      </c>
      <c r="G27" s="10">
        <f t="shared" ref="G27:X27" si="9">G26/G19</f>
        <v>3.5451800981422428E-3</v>
      </c>
      <c r="H27" s="10">
        <f t="shared" si="9"/>
        <v>1.3793343405497178E-3</v>
      </c>
      <c r="I27" s="10">
        <f t="shared" si="9"/>
        <v>7.9532435067118375E-4</v>
      </c>
      <c r="J27" s="10">
        <f t="shared" si="9"/>
        <v>-2.9852341163359992E-3</v>
      </c>
      <c r="K27" s="10">
        <f t="shared" si="9"/>
        <v>-3.0739607588518504E-3</v>
      </c>
      <c r="L27" s="10">
        <f t="shared" si="9"/>
        <v>-5.2128110202483027E-4</v>
      </c>
      <c r="M27" s="10">
        <f t="shared" si="9"/>
        <v>-3.4690067753879628E-3</v>
      </c>
      <c r="N27" s="10">
        <f t="shared" si="9"/>
        <v>-5.0299858679439275E-4</v>
      </c>
      <c r="O27" s="10">
        <f t="shared" si="9"/>
        <v>-2.1767687622370048E-3</v>
      </c>
      <c r="P27" s="10">
        <f t="shared" si="9"/>
        <v>-2.917697144839638E-3</v>
      </c>
      <c r="Q27" s="10">
        <f t="shared" si="9"/>
        <v>-5.7085521239378179E-3</v>
      </c>
      <c r="R27" s="10">
        <f t="shared" si="9"/>
        <v>-3.7560495146700479E-3</v>
      </c>
      <c r="S27" s="10">
        <f t="shared" si="9"/>
        <v>-3.7610456504724547E-3</v>
      </c>
      <c r="T27" s="10">
        <f t="shared" si="9"/>
        <v>-6.4833153257145932E-3</v>
      </c>
      <c r="U27" s="10">
        <f t="shared" si="9"/>
        <v>-3.2567475538213212E-3</v>
      </c>
      <c r="V27" s="10">
        <f t="shared" si="9"/>
        <v>-6.897851973627041E-3</v>
      </c>
      <c r="W27" s="10">
        <f t="shared" si="9"/>
        <v>-6.1291641102704658E-3</v>
      </c>
      <c r="X27" s="17">
        <f t="shared" si="9"/>
        <v>-3.8936939016047107E-3</v>
      </c>
    </row>
    <row r="28" spans="1:24" ht="12" customHeight="1" x14ac:dyDescent="0.2"/>
    <row r="29" spans="1:24" ht="12" customHeight="1" x14ac:dyDescent="0.2"/>
    <row r="30" spans="1:24" ht="12" customHeight="1" x14ac:dyDescent="0.2"/>
    <row r="31" spans="1:24" ht="12" customHeight="1" x14ac:dyDescent="0.2"/>
    <row r="32" spans="1:24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</sheetData>
  <phoneticPr fontId="6" type="noConversion"/>
  <printOptions horizontalCentered="1" verticalCentered="1" gridLines="1" gridLinesSet="0"/>
  <pageMargins left="0.25" right="0.24" top="1" bottom="1" header="0.5" footer="0.5"/>
  <pageSetup scale="75" orientation="landscape" horizontalDpi="300" verticalDpi="300" r:id="rId1"/>
  <headerFooter alignWithMargins="0">
    <oddHeader>&amp;C&amp;"Arial,Bold Italic"&amp;12NNG DTH PRA (00)12 Month Historical</oddHeader>
    <oddFooter>&amp;L&amp;F&amp;CPage &amp;P&amp;R&amp;D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="90" workbookViewId="0">
      <selection activeCell="F43" sqref="F43"/>
    </sheetView>
  </sheetViews>
  <sheetFormatPr defaultRowHeight="12.75" x14ac:dyDescent="0.2"/>
  <cols>
    <col min="1" max="1" width="12.7109375" customWidth="1"/>
    <col min="3" max="3" width="9.28515625" bestFit="1" customWidth="1"/>
    <col min="4" max="6" width="9" customWidth="1"/>
    <col min="7" max="7" width="8.85546875" customWidth="1"/>
    <col min="8" max="9" width="9" customWidth="1"/>
    <col min="10" max="10" width="10.28515625" customWidth="1"/>
    <col min="11" max="11" width="9.42578125" customWidth="1"/>
    <col min="12" max="13" width="10.28515625" customWidth="1"/>
    <col min="14" max="14" width="10.140625" customWidth="1"/>
  </cols>
  <sheetData>
    <row r="1" spans="1:14" x14ac:dyDescent="0.2">
      <c r="A1" s="1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2">
      <c r="A2" s="1" t="s">
        <v>47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14" x14ac:dyDescent="0.2">
      <c r="A3" s="1" t="s">
        <v>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</row>
    <row r="4" spans="1:14" x14ac:dyDescent="0.2">
      <c r="A4" s="1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14" ht="13.5" x14ac:dyDescent="0.25">
      <c r="A5" s="1"/>
      <c r="B5" s="4" t="s">
        <v>13</v>
      </c>
      <c r="C5" s="4" t="s">
        <v>14</v>
      </c>
      <c r="D5" s="4" t="s">
        <v>15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  <c r="L5" s="4" t="s">
        <v>11</v>
      </c>
      <c r="M5" s="4" t="s">
        <v>12</v>
      </c>
      <c r="N5" s="5"/>
    </row>
    <row r="6" spans="1:14" ht="13.5" x14ac:dyDescent="0.25">
      <c r="A6" s="1"/>
      <c r="B6" s="4">
        <v>2000</v>
      </c>
      <c r="C6" s="4">
        <v>2000</v>
      </c>
      <c r="D6" s="4">
        <v>2000</v>
      </c>
      <c r="E6" s="4">
        <v>2000</v>
      </c>
      <c r="F6" s="4">
        <v>2000</v>
      </c>
      <c r="G6" s="4">
        <v>2000</v>
      </c>
      <c r="H6" s="4">
        <v>2000</v>
      </c>
      <c r="I6" s="4">
        <v>2000</v>
      </c>
      <c r="J6" s="4">
        <v>2000</v>
      </c>
      <c r="K6" s="4">
        <v>2000</v>
      </c>
      <c r="L6" s="4">
        <v>2000</v>
      </c>
      <c r="M6" s="4">
        <v>2000</v>
      </c>
      <c r="N6" s="5" t="s">
        <v>17</v>
      </c>
    </row>
    <row r="7" spans="1:14" ht="13.5" x14ac:dyDescent="0.25">
      <c r="A7" s="1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2"/>
    </row>
    <row r="8" spans="1:14" ht="13.5" x14ac:dyDescent="0.25">
      <c r="A8" s="7" t="s">
        <v>18</v>
      </c>
      <c r="B8" s="8">
        <v>389462524</v>
      </c>
      <c r="C8" s="8">
        <v>327592311</v>
      </c>
      <c r="D8" s="8">
        <v>287137686</v>
      </c>
      <c r="E8" s="8">
        <v>264736025</v>
      </c>
      <c r="F8" s="8">
        <v>238071405</v>
      </c>
      <c r="G8" s="8">
        <v>218685444</v>
      </c>
      <c r="H8" s="8">
        <v>223482056</v>
      </c>
      <c r="I8" s="8">
        <v>230223503</v>
      </c>
      <c r="J8" s="8">
        <v>238858380</v>
      </c>
      <c r="K8" s="8">
        <v>269939084</v>
      </c>
      <c r="L8" s="8">
        <v>317732541</v>
      </c>
      <c r="M8" s="8">
        <v>378284649</v>
      </c>
      <c r="N8" s="2">
        <f>SUM(B8:M8)</f>
        <v>3384205608</v>
      </c>
    </row>
    <row r="9" spans="1:14" ht="13.5" x14ac:dyDescent="0.25">
      <c r="A9" s="7" t="s">
        <v>19</v>
      </c>
      <c r="B9" s="8">
        <v>386562421</v>
      </c>
      <c r="C9" s="8">
        <v>324141831</v>
      </c>
      <c r="D9" s="8">
        <v>284806968</v>
      </c>
      <c r="E9" s="8">
        <v>261888455</v>
      </c>
      <c r="F9" s="8">
        <v>236216917</v>
      </c>
      <c r="G9" s="8">
        <v>216410637</v>
      </c>
      <c r="H9" s="8">
        <v>221725930</v>
      </c>
      <c r="I9" s="8">
        <v>228125235</v>
      </c>
      <c r="J9" s="8">
        <v>237123161</v>
      </c>
      <c r="K9" s="8">
        <v>268039685</v>
      </c>
      <c r="L9" s="8">
        <v>315403855</v>
      </c>
      <c r="M9" s="8">
        <v>375190523</v>
      </c>
      <c r="N9" s="2">
        <f>SUM(B9:M9)</f>
        <v>3355635618</v>
      </c>
    </row>
    <row r="10" spans="1:14" x14ac:dyDescent="0.2">
      <c r="A10" s="7" t="s">
        <v>20</v>
      </c>
      <c r="B10" s="2">
        <f t="shared" ref="B10:M10" si="0">+B9+B19+B20+B21</f>
        <v>389241753</v>
      </c>
      <c r="C10" s="2">
        <f t="shared" si="0"/>
        <v>326911329</v>
      </c>
      <c r="D10" s="2">
        <f t="shared" si="0"/>
        <v>286962772</v>
      </c>
      <c r="E10" s="2">
        <f t="shared" si="0"/>
        <v>264414093</v>
      </c>
      <c r="F10" s="2">
        <f t="shared" si="0"/>
        <v>237982633</v>
      </c>
      <c r="G10" s="2">
        <f t="shared" si="0"/>
        <v>218346083</v>
      </c>
      <c r="H10" s="2">
        <f t="shared" si="0"/>
        <v>223859803</v>
      </c>
      <c r="I10" s="2">
        <f t="shared" si="0"/>
        <v>229693649</v>
      </c>
      <c r="J10" s="2">
        <f t="shared" si="0"/>
        <v>239236200</v>
      </c>
      <c r="K10" s="2">
        <f t="shared" si="0"/>
        <v>270095595</v>
      </c>
      <c r="L10" s="2">
        <f t="shared" si="0"/>
        <v>317836229</v>
      </c>
      <c r="M10" s="2">
        <f t="shared" si="0"/>
        <v>377825541</v>
      </c>
      <c r="N10" s="2">
        <f>SUM(B10:M10)</f>
        <v>3382405680</v>
      </c>
    </row>
    <row r="11" spans="1:14" x14ac:dyDescent="0.2">
      <c r="A11" s="7" t="s">
        <v>21</v>
      </c>
      <c r="B11" s="2">
        <f t="shared" ref="B11:M11" si="1">-B8+B10</f>
        <v>-220771</v>
      </c>
      <c r="C11" s="2">
        <f t="shared" si="1"/>
        <v>-680982</v>
      </c>
      <c r="D11" s="2">
        <f t="shared" si="1"/>
        <v>-174914</v>
      </c>
      <c r="E11" s="2">
        <f t="shared" si="1"/>
        <v>-321932</v>
      </c>
      <c r="F11" s="2">
        <f t="shared" si="1"/>
        <v>-88772</v>
      </c>
      <c r="G11" s="2">
        <f t="shared" si="1"/>
        <v>-339361</v>
      </c>
      <c r="H11" s="2">
        <f t="shared" si="1"/>
        <v>377747</v>
      </c>
      <c r="I11" s="2">
        <f t="shared" si="1"/>
        <v>-529854</v>
      </c>
      <c r="J11" s="2">
        <f t="shared" si="1"/>
        <v>377820</v>
      </c>
      <c r="K11" s="2">
        <f t="shared" si="1"/>
        <v>156511</v>
      </c>
      <c r="L11" s="2">
        <f t="shared" si="1"/>
        <v>103688</v>
      </c>
      <c r="M11" s="2">
        <f t="shared" si="1"/>
        <v>-459108</v>
      </c>
      <c r="N11" s="2">
        <f>SUM(B11:M11)</f>
        <v>-1799928</v>
      </c>
    </row>
    <row r="12" spans="1:14" x14ac:dyDescent="0.2">
      <c r="A12" s="9" t="s">
        <v>22</v>
      </c>
      <c r="B12" s="10">
        <f t="shared" ref="B12:M12" si="2">B11/B8</f>
        <v>-5.6686070262308469E-4</v>
      </c>
      <c r="C12" s="10">
        <f t="shared" si="2"/>
        <v>-2.0787484233718784E-3</v>
      </c>
      <c r="D12" s="10">
        <f t="shared" si="2"/>
        <v>-6.0916420424172394E-4</v>
      </c>
      <c r="E12" s="10">
        <f t="shared" si="2"/>
        <v>-1.2160490813443315E-3</v>
      </c>
      <c r="F12" s="10">
        <f t="shared" si="2"/>
        <v>-3.728797248875815E-4</v>
      </c>
      <c r="G12" s="10">
        <f t="shared" si="2"/>
        <v>-1.5518225346539296E-3</v>
      </c>
      <c r="H12" s="10">
        <f t="shared" si="2"/>
        <v>1.690278883061645E-3</v>
      </c>
      <c r="I12" s="10">
        <f t="shared" si="2"/>
        <v>-2.301476578609787E-3</v>
      </c>
      <c r="J12" s="10">
        <f t="shared" si="2"/>
        <v>1.5817741039690547E-3</v>
      </c>
      <c r="K12" s="10">
        <f t="shared" si="2"/>
        <v>5.7980118210670083E-4</v>
      </c>
      <c r="L12" s="10">
        <f t="shared" si="2"/>
        <v>3.2633736435576485E-4</v>
      </c>
      <c r="M12" s="10">
        <f t="shared" si="2"/>
        <v>-1.2136574963156912E-3</v>
      </c>
      <c r="N12" s="10">
        <f>N11/N8</f>
        <v>-5.3186130173211391E-4</v>
      </c>
    </row>
    <row r="13" spans="1:14" x14ac:dyDescent="0.2">
      <c r="A13" s="7" t="s">
        <v>23</v>
      </c>
      <c r="B13" s="2">
        <f t="shared" ref="B13:M13" si="3">-B8+B10</f>
        <v>-220771</v>
      </c>
      <c r="C13" s="2">
        <f t="shared" si="3"/>
        <v>-680982</v>
      </c>
      <c r="D13" s="2">
        <f t="shared" si="3"/>
        <v>-174914</v>
      </c>
      <c r="E13" s="2">
        <f t="shared" si="3"/>
        <v>-321932</v>
      </c>
      <c r="F13" s="2">
        <f t="shared" si="3"/>
        <v>-88772</v>
      </c>
      <c r="G13" s="2">
        <f t="shared" si="3"/>
        <v>-339361</v>
      </c>
      <c r="H13" s="2">
        <f t="shared" si="3"/>
        <v>377747</v>
      </c>
      <c r="I13" s="2">
        <f t="shared" si="3"/>
        <v>-529854</v>
      </c>
      <c r="J13" s="2">
        <f t="shared" si="3"/>
        <v>377820</v>
      </c>
      <c r="K13" s="2">
        <f t="shared" si="3"/>
        <v>156511</v>
      </c>
      <c r="L13" s="2">
        <f t="shared" si="3"/>
        <v>103688</v>
      </c>
      <c r="M13" s="2">
        <f t="shared" si="3"/>
        <v>-459108</v>
      </c>
      <c r="N13" s="2">
        <f>SUM(B13:M13)</f>
        <v>-1799928</v>
      </c>
    </row>
    <row r="14" spans="1:14" x14ac:dyDescent="0.2">
      <c r="A14" s="9" t="s">
        <v>22</v>
      </c>
      <c r="B14" s="10">
        <f t="shared" ref="B14:M14" si="4">B13/B8</f>
        <v>-5.6686070262308469E-4</v>
      </c>
      <c r="C14" s="10">
        <f t="shared" si="4"/>
        <v>-2.0787484233718784E-3</v>
      </c>
      <c r="D14" s="10">
        <f t="shared" si="4"/>
        <v>-6.0916420424172394E-4</v>
      </c>
      <c r="E14" s="10">
        <f t="shared" si="4"/>
        <v>-1.2160490813443315E-3</v>
      </c>
      <c r="F14" s="10">
        <f t="shared" si="4"/>
        <v>-3.728797248875815E-4</v>
      </c>
      <c r="G14" s="10">
        <f t="shared" si="4"/>
        <v>-1.5518225346539296E-3</v>
      </c>
      <c r="H14" s="10">
        <f t="shared" si="4"/>
        <v>1.690278883061645E-3</v>
      </c>
      <c r="I14" s="10">
        <f t="shared" si="4"/>
        <v>-2.301476578609787E-3</v>
      </c>
      <c r="J14" s="10">
        <f t="shared" si="4"/>
        <v>1.5817741039690547E-3</v>
      </c>
      <c r="K14" s="10">
        <f t="shared" si="4"/>
        <v>5.7980118210670083E-4</v>
      </c>
      <c r="L14" s="10">
        <f t="shared" si="4"/>
        <v>3.2633736435576485E-4</v>
      </c>
      <c r="M14" s="10">
        <f t="shared" si="4"/>
        <v>-1.2136574963156912E-3</v>
      </c>
      <c r="N14" s="10">
        <f>N13/N8</f>
        <v>-5.3186130173211391E-4</v>
      </c>
    </row>
    <row r="15" spans="1:14" ht="13.5" x14ac:dyDescent="0.25">
      <c r="A15" s="7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2" t="s">
        <v>1</v>
      </c>
    </row>
    <row r="16" spans="1:14" x14ac:dyDescent="0.2">
      <c r="A16" s="7" t="s">
        <v>24</v>
      </c>
      <c r="B16" s="2">
        <v>149428069</v>
      </c>
      <c r="C16" s="2">
        <v>127927568</v>
      </c>
      <c r="D16" s="2">
        <v>120128005</v>
      </c>
      <c r="E16" s="2">
        <v>109021045</v>
      </c>
      <c r="F16" s="2">
        <v>104397477</v>
      </c>
      <c r="G16" s="2">
        <v>93951694</v>
      </c>
      <c r="H16" s="2">
        <v>101266797</v>
      </c>
      <c r="I16" s="2">
        <v>102814096</v>
      </c>
      <c r="J16" s="2">
        <v>106572865</v>
      </c>
      <c r="K16" s="2">
        <v>113468501</v>
      </c>
      <c r="L16" s="2">
        <v>130371967</v>
      </c>
      <c r="M16" s="2">
        <v>153792963</v>
      </c>
      <c r="N16" s="2">
        <f>SUM(B16:M16)</f>
        <v>1413141047</v>
      </c>
    </row>
    <row r="17" spans="1:14" x14ac:dyDescent="0.2">
      <c r="A17" s="7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 t="s">
        <v>1</v>
      </c>
    </row>
    <row r="18" spans="1:14" x14ac:dyDescent="0.2">
      <c r="A18" s="7" t="s">
        <v>25</v>
      </c>
      <c r="B18" s="2">
        <v>146527966</v>
      </c>
      <c r="C18" s="2">
        <v>124477088</v>
      </c>
      <c r="D18" s="2">
        <v>117797287</v>
      </c>
      <c r="E18" s="2">
        <v>106173475</v>
      </c>
      <c r="F18" s="2">
        <v>102542989</v>
      </c>
      <c r="G18" s="2">
        <v>91676887</v>
      </c>
      <c r="H18" s="2">
        <v>99510671</v>
      </c>
      <c r="I18" s="2">
        <v>100715828</v>
      </c>
      <c r="J18" s="2">
        <v>104837646</v>
      </c>
      <c r="K18" s="2">
        <v>111569102</v>
      </c>
      <c r="L18" s="2">
        <v>128043281</v>
      </c>
      <c r="M18" s="2">
        <v>150698837</v>
      </c>
      <c r="N18" s="2">
        <f t="shared" ref="N18:N23" si="5">SUM(B18:M18)</f>
        <v>1384571057</v>
      </c>
    </row>
    <row r="19" spans="1:14" x14ac:dyDescent="0.2">
      <c r="A19" s="7" t="s">
        <v>26</v>
      </c>
      <c r="B19" s="2">
        <v>2820089</v>
      </c>
      <c r="C19" s="2">
        <v>2514315</v>
      </c>
      <c r="D19" s="2">
        <v>2233298</v>
      </c>
      <c r="E19" s="2">
        <v>1996836</v>
      </c>
      <c r="F19" s="2">
        <v>1751913</v>
      </c>
      <c r="G19" s="2">
        <v>1584762</v>
      </c>
      <c r="H19" s="2">
        <v>1573207</v>
      </c>
      <c r="I19" s="2">
        <v>1630148</v>
      </c>
      <c r="J19" s="2">
        <v>1800184</v>
      </c>
      <c r="K19" s="2">
        <v>1893976</v>
      </c>
      <c r="L19" s="2">
        <v>2250282</v>
      </c>
      <c r="M19" s="2">
        <v>2561882</v>
      </c>
      <c r="N19" s="2">
        <f t="shared" si="5"/>
        <v>24610892</v>
      </c>
    </row>
    <row r="20" spans="1:14" x14ac:dyDescent="0.2">
      <c r="A20" s="7" t="s">
        <v>27</v>
      </c>
      <c r="B20" s="2">
        <v>-271818</v>
      </c>
      <c r="C20" s="2">
        <v>108969</v>
      </c>
      <c r="D20" s="2">
        <v>-216600</v>
      </c>
      <c r="E20" s="2">
        <v>326931</v>
      </c>
      <c r="F20" s="2">
        <v>-178902</v>
      </c>
      <c r="G20" s="2">
        <v>200231</v>
      </c>
      <c r="H20" s="2">
        <v>461593</v>
      </c>
      <c r="I20" s="2">
        <v>-147789</v>
      </c>
      <c r="J20" s="2">
        <v>177964</v>
      </c>
      <c r="K20" s="2">
        <v>72651</v>
      </c>
      <c r="L20" s="2">
        <v>62705</v>
      </c>
      <c r="M20" s="2">
        <v>-72228</v>
      </c>
      <c r="N20" s="2">
        <f t="shared" si="5"/>
        <v>523707</v>
      </c>
    </row>
    <row r="21" spans="1:14" x14ac:dyDescent="0.2">
      <c r="A21" s="7" t="s">
        <v>28</v>
      </c>
      <c r="B21" s="2">
        <v>131061</v>
      </c>
      <c r="C21" s="2">
        <v>146214</v>
      </c>
      <c r="D21" s="2">
        <v>139106</v>
      </c>
      <c r="E21" s="2">
        <v>201871</v>
      </c>
      <c r="F21" s="2">
        <v>192705</v>
      </c>
      <c r="G21" s="2">
        <v>150453</v>
      </c>
      <c r="H21" s="2">
        <v>99073</v>
      </c>
      <c r="I21" s="2">
        <v>86055</v>
      </c>
      <c r="J21" s="2">
        <v>134891</v>
      </c>
      <c r="K21" s="2">
        <v>89283</v>
      </c>
      <c r="L21" s="2">
        <v>119387</v>
      </c>
      <c r="M21" s="2">
        <v>145364</v>
      </c>
      <c r="N21" s="2">
        <f t="shared" si="5"/>
        <v>1635463</v>
      </c>
    </row>
    <row r="22" spans="1:14" x14ac:dyDescent="0.2">
      <c r="A22" s="7" t="s">
        <v>20</v>
      </c>
      <c r="B22" s="2">
        <f t="shared" ref="B22:M22" si="6">SUM(B18:B21)</f>
        <v>149207298</v>
      </c>
      <c r="C22" s="2">
        <f t="shared" si="6"/>
        <v>127246586</v>
      </c>
      <c r="D22" s="2">
        <f t="shared" si="6"/>
        <v>119953091</v>
      </c>
      <c r="E22" s="2">
        <f t="shared" si="6"/>
        <v>108699113</v>
      </c>
      <c r="F22" s="2">
        <f t="shared" si="6"/>
        <v>104308705</v>
      </c>
      <c r="G22" s="2">
        <f t="shared" si="6"/>
        <v>93612333</v>
      </c>
      <c r="H22" s="2">
        <f t="shared" si="6"/>
        <v>101644544</v>
      </c>
      <c r="I22" s="2">
        <f t="shared" si="6"/>
        <v>102284242</v>
      </c>
      <c r="J22" s="2">
        <f t="shared" si="6"/>
        <v>106950685</v>
      </c>
      <c r="K22" s="2">
        <f t="shared" si="6"/>
        <v>113625012</v>
      </c>
      <c r="L22" s="2">
        <f t="shared" si="6"/>
        <v>130475655</v>
      </c>
      <c r="M22" s="2">
        <f t="shared" si="6"/>
        <v>153333855</v>
      </c>
      <c r="N22" s="2">
        <f t="shared" si="5"/>
        <v>1411341119</v>
      </c>
    </row>
    <row r="23" spans="1:14" x14ac:dyDescent="0.2">
      <c r="A23" s="7" t="s">
        <v>30</v>
      </c>
      <c r="B23" s="2">
        <f t="shared" ref="B23:M23" si="7">-B16+B22</f>
        <v>-220771</v>
      </c>
      <c r="C23" s="2">
        <f t="shared" si="7"/>
        <v>-680982</v>
      </c>
      <c r="D23" s="2">
        <f t="shared" si="7"/>
        <v>-174914</v>
      </c>
      <c r="E23" s="2">
        <f t="shared" si="7"/>
        <v>-321932</v>
      </c>
      <c r="F23" s="2">
        <f t="shared" si="7"/>
        <v>-88772</v>
      </c>
      <c r="G23" s="2">
        <f t="shared" si="7"/>
        <v>-339361</v>
      </c>
      <c r="H23" s="2">
        <f t="shared" si="7"/>
        <v>377747</v>
      </c>
      <c r="I23" s="2">
        <f t="shared" si="7"/>
        <v>-529854</v>
      </c>
      <c r="J23" s="2">
        <f t="shared" si="7"/>
        <v>377820</v>
      </c>
      <c r="K23" s="2">
        <f t="shared" si="7"/>
        <v>156511</v>
      </c>
      <c r="L23" s="2">
        <f t="shared" si="7"/>
        <v>103688</v>
      </c>
      <c r="M23" s="2">
        <f t="shared" si="7"/>
        <v>-459108</v>
      </c>
      <c r="N23" s="2">
        <f t="shared" si="5"/>
        <v>-1799928</v>
      </c>
    </row>
    <row r="24" spans="1:14" x14ac:dyDescent="0.2">
      <c r="A24" s="9" t="s">
        <v>22</v>
      </c>
      <c r="B24" s="10">
        <f t="shared" ref="B24:M24" si="8">B23/B16</f>
        <v>-1.477439958084448E-3</v>
      </c>
      <c r="C24" s="10">
        <f t="shared" si="8"/>
        <v>-5.3231841318205943E-3</v>
      </c>
      <c r="D24" s="10">
        <f t="shared" si="8"/>
        <v>-1.4560634716276192E-3</v>
      </c>
      <c r="E24" s="10">
        <f t="shared" si="8"/>
        <v>-2.952934454077192E-3</v>
      </c>
      <c r="F24" s="10">
        <f t="shared" si="8"/>
        <v>-8.5032706298065043E-4</v>
      </c>
      <c r="G24" s="10">
        <f t="shared" si="8"/>
        <v>-3.6120796289207942E-3</v>
      </c>
      <c r="H24" s="10">
        <f t="shared" si="8"/>
        <v>3.7302157389257607E-3</v>
      </c>
      <c r="I24" s="10">
        <f t="shared" si="8"/>
        <v>-5.1535151366793128E-3</v>
      </c>
      <c r="J24" s="10">
        <f t="shared" si="8"/>
        <v>3.5451800981422428E-3</v>
      </c>
      <c r="K24" s="10">
        <f t="shared" si="8"/>
        <v>1.3793343405497178E-3</v>
      </c>
      <c r="L24" s="10">
        <f t="shared" si="8"/>
        <v>7.9532435067118375E-4</v>
      </c>
      <c r="M24" s="10">
        <f t="shared" si="8"/>
        <v>-2.9852341163359992E-3</v>
      </c>
      <c r="N24" s="10">
        <f>N23/N16</f>
        <v>-1.2737072522386367E-3</v>
      </c>
    </row>
  </sheetData>
  <phoneticPr fontId="6" type="noConversion"/>
  <printOptions gridLines="1"/>
  <pageMargins left="0.75" right="0.75" top="1" bottom="1" header="0.5" footer="0.5"/>
  <pageSetup scale="90" orientation="landscape" horizontalDpi="300" verticalDpi="30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7"/>
  <sheetViews>
    <sheetView zoomScale="75" workbookViewId="0">
      <selection activeCell="N22" sqref="N22"/>
    </sheetView>
  </sheetViews>
  <sheetFormatPr defaultRowHeight="11.25" x14ac:dyDescent="0.2"/>
  <cols>
    <col min="1" max="1" width="9.28515625" style="19" customWidth="1"/>
    <col min="2" max="2" width="6" style="19" bestFit="1" customWidth="1"/>
    <col min="3" max="3" width="4.140625" style="19" bestFit="1" customWidth="1"/>
    <col min="4" max="4" width="28.5703125" style="18" bestFit="1" customWidth="1"/>
    <col min="5" max="5" width="10.42578125" style="19" bestFit="1" customWidth="1"/>
    <col min="6" max="6" width="10.85546875" style="19" bestFit="1" customWidth="1"/>
    <col min="7" max="7" width="11.7109375" style="19" customWidth="1"/>
    <col min="8" max="8" width="10.42578125" style="19" bestFit="1" customWidth="1"/>
    <col min="9" max="9" width="13.7109375" style="19" bestFit="1" customWidth="1"/>
    <col min="10" max="10" width="10.5703125" style="19" customWidth="1"/>
    <col min="11" max="11" width="4.5703125" style="19" bestFit="1" customWidth="1"/>
    <col min="12" max="12" width="8" style="19" bestFit="1" customWidth="1"/>
    <col min="13" max="13" width="11.28515625" style="19" customWidth="1"/>
    <col min="14" max="14" width="31" style="31" bestFit="1" customWidth="1"/>
    <col min="15" max="16384" width="9.140625" style="18"/>
  </cols>
  <sheetData>
    <row r="1" spans="1:14" x14ac:dyDescent="0.2">
      <c r="A1" s="20"/>
      <c r="B1" s="20"/>
      <c r="C1" s="20"/>
      <c r="D1" s="20"/>
      <c r="E1" s="21"/>
      <c r="F1" s="22" t="s">
        <v>31</v>
      </c>
      <c r="G1" s="23"/>
      <c r="H1" s="21"/>
      <c r="I1" s="22" t="s">
        <v>32</v>
      </c>
      <c r="J1" s="23"/>
      <c r="K1" s="20" t="s">
        <v>33</v>
      </c>
      <c r="L1" s="20" t="s">
        <v>33</v>
      </c>
      <c r="M1" s="20" t="s">
        <v>33</v>
      </c>
      <c r="N1" s="24" t="s">
        <v>34</v>
      </c>
    </row>
    <row r="2" spans="1:14" x14ac:dyDescent="0.2">
      <c r="A2" s="25" t="s">
        <v>35</v>
      </c>
      <c r="B2" s="25" t="s">
        <v>36</v>
      </c>
      <c r="C2" s="25" t="s">
        <v>37</v>
      </c>
      <c r="D2" s="25" t="s">
        <v>38</v>
      </c>
      <c r="E2" s="26" t="s">
        <v>39</v>
      </c>
      <c r="F2" s="27" t="s">
        <v>40</v>
      </c>
      <c r="G2" s="28" t="s">
        <v>41</v>
      </c>
      <c r="H2" s="26" t="s">
        <v>39</v>
      </c>
      <c r="I2" s="27" t="s">
        <v>42</v>
      </c>
      <c r="J2" s="28" t="s">
        <v>41</v>
      </c>
      <c r="K2" s="25" t="s">
        <v>43</v>
      </c>
      <c r="L2" s="25" t="s">
        <v>44</v>
      </c>
      <c r="M2" s="25" t="s">
        <v>45</v>
      </c>
      <c r="N2" s="29" t="s">
        <v>46</v>
      </c>
    </row>
    <row r="3" spans="1:14" ht="32.1" customHeight="1" x14ac:dyDescent="0.2">
      <c r="A3" s="19">
        <v>749331</v>
      </c>
      <c r="B3" s="19">
        <v>3990</v>
      </c>
      <c r="C3" s="19" t="s">
        <v>49</v>
      </c>
      <c r="D3" s="18" t="s">
        <v>50</v>
      </c>
      <c r="E3" s="18">
        <v>29421</v>
      </c>
      <c r="F3" s="18">
        <v>0</v>
      </c>
      <c r="G3" s="18">
        <f t="shared" ref="G3:G18" si="0">+F3-E3</f>
        <v>-29421</v>
      </c>
      <c r="H3" s="18">
        <v>29196</v>
      </c>
      <c r="I3" s="18">
        <v>0</v>
      </c>
      <c r="J3" s="18">
        <f t="shared" ref="J3:J18" si="1">+I3-H3</f>
        <v>-29196</v>
      </c>
      <c r="K3" s="18"/>
      <c r="L3" s="30">
        <v>37258</v>
      </c>
      <c r="M3" s="19" t="s">
        <v>51</v>
      </c>
      <c r="N3" s="36" t="s">
        <v>52</v>
      </c>
    </row>
    <row r="4" spans="1:14" ht="32.1" customHeight="1" x14ac:dyDescent="0.2">
      <c r="A4" s="19">
        <v>660040</v>
      </c>
      <c r="B4" s="19">
        <v>229</v>
      </c>
      <c r="C4" s="19" t="s">
        <v>53</v>
      </c>
      <c r="D4" s="18" t="s">
        <v>54</v>
      </c>
      <c r="E4" s="18">
        <v>-1105830</v>
      </c>
      <c r="F4" s="18">
        <v>-1126060</v>
      </c>
      <c r="G4" s="18">
        <f t="shared" si="0"/>
        <v>-20230</v>
      </c>
      <c r="H4" s="18">
        <v>-1110170</v>
      </c>
      <c r="I4" s="18">
        <v>-1145760</v>
      </c>
      <c r="J4" s="18">
        <f t="shared" si="1"/>
        <v>-35590</v>
      </c>
      <c r="K4" s="18"/>
      <c r="L4" s="30">
        <v>37258</v>
      </c>
      <c r="M4" s="19" t="s">
        <v>55</v>
      </c>
      <c r="N4" s="37" t="s">
        <v>56</v>
      </c>
    </row>
    <row r="5" spans="1:14" ht="32.1" customHeight="1" x14ac:dyDescent="0.2">
      <c r="A5" s="19">
        <v>950101</v>
      </c>
      <c r="B5" s="19">
        <v>61260</v>
      </c>
      <c r="C5" s="19" t="s">
        <v>53</v>
      </c>
      <c r="D5" s="18" t="s">
        <v>57</v>
      </c>
      <c r="E5" s="18">
        <v>52903200</v>
      </c>
      <c r="F5" s="18">
        <v>-258987</v>
      </c>
      <c r="G5" s="18">
        <f t="shared" si="0"/>
        <v>-53162187</v>
      </c>
      <c r="H5" s="18">
        <v>48513100</v>
      </c>
      <c r="I5" s="18">
        <v>-264146</v>
      </c>
      <c r="J5" s="18">
        <f t="shared" si="1"/>
        <v>-48777246</v>
      </c>
      <c r="K5" s="18"/>
      <c r="L5" s="30">
        <v>37258</v>
      </c>
      <c r="M5" s="19" t="s">
        <v>58</v>
      </c>
      <c r="N5" s="37" t="s">
        <v>59</v>
      </c>
    </row>
    <row r="6" spans="1:14" ht="32.1" customHeight="1" x14ac:dyDescent="0.2">
      <c r="A6" s="19">
        <v>950001</v>
      </c>
      <c r="B6" s="19">
        <v>61259</v>
      </c>
      <c r="C6" s="19" t="s">
        <v>53</v>
      </c>
      <c r="D6" s="18" t="s">
        <v>60</v>
      </c>
      <c r="E6" s="18">
        <v>53215400</v>
      </c>
      <c r="F6" s="18">
        <v>53214</v>
      </c>
      <c r="G6" s="18">
        <f t="shared" si="0"/>
        <v>-53162186</v>
      </c>
      <c r="H6" s="18">
        <v>48826100</v>
      </c>
      <c r="I6" s="18">
        <v>48825</v>
      </c>
      <c r="J6" s="18">
        <f t="shared" si="1"/>
        <v>-48777275</v>
      </c>
      <c r="K6" s="18"/>
      <c r="L6" s="30">
        <v>37258</v>
      </c>
      <c r="M6" s="19" t="s">
        <v>58</v>
      </c>
      <c r="N6" s="37" t="s">
        <v>59</v>
      </c>
    </row>
    <row r="7" spans="1:14" ht="32.1" customHeight="1" x14ac:dyDescent="0.2">
      <c r="A7" s="19">
        <v>660105</v>
      </c>
      <c r="B7" s="19">
        <v>0</v>
      </c>
      <c r="C7" s="19" t="s">
        <v>49</v>
      </c>
      <c r="D7" s="18" t="s">
        <v>61</v>
      </c>
      <c r="E7" s="18">
        <v>1105830</v>
      </c>
      <c r="F7" s="18">
        <v>805545</v>
      </c>
      <c r="G7" s="18">
        <f t="shared" si="0"/>
        <v>-300285</v>
      </c>
      <c r="H7" s="18">
        <v>1110170</v>
      </c>
      <c r="I7" s="18">
        <v>819644</v>
      </c>
      <c r="J7" s="18">
        <f t="shared" si="1"/>
        <v>-290526</v>
      </c>
      <c r="K7" s="18"/>
      <c r="L7" s="30">
        <v>37258</v>
      </c>
      <c r="M7" s="19" t="s">
        <v>62</v>
      </c>
      <c r="N7" s="37" t="s">
        <v>63</v>
      </c>
    </row>
    <row r="8" spans="1:14" ht="32.1" customHeight="1" x14ac:dyDescent="0.2">
      <c r="A8" s="19">
        <v>660105</v>
      </c>
      <c r="B8" s="19">
        <v>0</v>
      </c>
      <c r="C8" s="19" t="s">
        <v>49</v>
      </c>
      <c r="D8" s="18" t="s">
        <v>61</v>
      </c>
      <c r="E8" s="18">
        <v>0</v>
      </c>
      <c r="F8" s="18">
        <v>320511</v>
      </c>
      <c r="G8" s="18">
        <f t="shared" si="0"/>
        <v>320511</v>
      </c>
      <c r="H8" s="18">
        <v>0</v>
      </c>
      <c r="I8" s="18">
        <v>326120</v>
      </c>
      <c r="J8" s="18">
        <f t="shared" si="1"/>
        <v>326120</v>
      </c>
      <c r="K8" s="18"/>
      <c r="L8" s="30">
        <v>37258</v>
      </c>
      <c r="M8" s="19" t="s">
        <v>62</v>
      </c>
      <c r="N8" s="37" t="s">
        <v>63</v>
      </c>
    </row>
    <row r="9" spans="1:14" ht="32.1" customHeight="1" x14ac:dyDescent="0.2">
      <c r="A9" s="19">
        <v>747412</v>
      </c>
      <c r="B9" s="19">
        <v>62069</v>
      </c>
      <c r="C9" s="19" t="s">
        <v>49</v>
      </c>
      <c r="D9" s="18" t="s">
        <v>64</v>
      </c>
      <c r="E9" s="18">
        <v>43576</v>
      </c>
      <c r="F9" s="18">
        <v>26</v>
      </c>
      <c r="G9" s="18">
        <f t="shared" si="0"/>
        <v>-43550</v>
      </c>
      <c r="H9" s="18">
        <v>43802</v>
      </c>
      <c r="I9" s="18">
        <v>26</v>
      </c>
      <c r="J9" s="18">
        <f t="shared" si="1"/>
        <v>-43776</v>
      </c>
      <c r="K9" s="18"/>
      <c r="L9" s="30">
        <v>37258</v>
      </c>
      <c r="M9" s="19" t="s">
        <v>65</v>
      </c>
      <c r="N9" s="37" t="s">
        <v>66</v>
      </c>
    </row>
    <row r="10" spans="1:14" ht="32.1" customHeight="1" x14ac:dyDescent="0.2">
      <c r="A10" s="19">
        <v>820120</v>
      </c>
      <c r="B10" s="19">
        <v>71487</v>
      </c>
      <c r="C10" s="19" t="s">
        <v>49</v>
      </c>
      <c r="D10" s="18" t="s">
        <v>67</v>
      </c>
      <c r="E10" s="18">
        <v>0</v>
      </c>
      <c r="F10" s="18">
        <v>93967</v>
      </c>
      <c r="G10" s="18">
        <f t="shared" si="0"/>
        <v>93967</v>
      </c>
      <c r="H10" s="18">
        <v>0</v>
      </c>
      <c r="I10" s="18">
        <v>93967</v>
      </c>
      <c r="J10" s="18">
        <f t="shared" si="1"/>
        <v>93967</v>
      </c>
      <c r="K10" s="18"/>
      <c r="L10" s="30">
        <v>37258</v>
      </c>
      <c r="M10" s="19" t="s">
        <v>65</v>
      </c>
      <c r="N10" s="37" t="s">
        <v>68</v>
      </c>
    </row>
    <row r="11" spans="1:14" ht="32.1" customHeight="1" x14ac:dyDescent="0.2">
      <c r="A11" s="19">
        <v>820046</v>
      </c>
      <c r="B11" s="19">
        <v>62834</v>
      </c>
      <c r="C11" s="19" t="s">
        <v>49</v>
      </c>
      <c r="D11" s="18" t="s">
        <v>69</v>
      </c>
      <c r="E11" s="18">
        <v>0</v>
      </c>
      <c r="F11" s="18">
        <v>122999</v>
      </c>
      <c r="G11" s="18">
        <f t="shared" si="0"/>
        <v>122999</v>
      </c>
      <c r="H11" s="18">
        <v>0</v>
      </c>
      <c r="I11" s="18">
        <v>122999</v>
      </c>
      <c r="J11" s="18">
        <f t="shared" si="1"/>
        <v>122999</v>
      </c>
      <c r="K11" s="18"/>
      <c r="L11" s="30">
        <v>37258</v>
      </c>
      <c r="M11" s="19" t="s">
        <v>65</v>
      </c>
      <c r="N11" s="37" t="s">
        <v>68</v>
      </c>
    </row>
    <row r="12" spans="1:14" ht="32.1" customHeight="1" x14ac:dyDescent="0.2">
      <c r="A12" s="19">
        <v>658164</v>
      </c>
      <c r="B12" s="19">
        <v>36513</v>
      </c>
      <c r="C12" s="19" t="s">
        <v>53</v>
      </c>
      <c r="D12" s="18" t="s">
        <v>70</v>
      </c>
      <c r="E12" s="18">
        <v>264914</v>
      </c>
      <c r="F12" s="18">
        <v>214324</v>
      </c>
      <c r="G12" s="18">
        <f t="shared" si="0"/>
        <v>-50590</v>
      </c>
      <c r="H12" s="18">
        <v>269365</v>
      </c>
      <c r="I12" s="18">
        <v>217924</v>
      </c>
      <c r="J12" s="18">
        <f t="shared" si="1"/>
        <v>-51441</v>
      </c>
      <c r="K12" s="18"/>
      <c r="L12" s="30">
        <v>37226</v>
      </c>
      <c r="M12" s="19" t="s">
        <v>71</v>
      </c>
      <c r="N12" s="37" t="s">
        <v>72</v>
      </c>
    </row>
    <row r="13" spans="1:14" ht="32.1" customHeight="1" x14ac:dyDescent="0.2">
      <c r="A13" s="19">
        <v>658164</v>
      </c>
      <c r="B13" s="19">
        <v>36513</v>
      </c>
      <c r="C13" s="19" t="s">
        <v>53</v>
      </c>
      <c r="D13" s="18" t="s">
        <v>70</v>
      </c>
      <c r="E13" s="18">
        <v>219608</v>
      </c>
      <c r="F13" s="18">
        <v>179783</v>
      </c>
      <c r="G13" s="18">
        <f t="shared" si="0"/>
        <v>-39825</v>
      </c>
      <c r="H13" s="18">
        <v>223297</v>
      </c>
      <c r="I13" s="18">
        <v>182804</v>
      </c>
      <c r="J13" s="18">
        <f t="shared" si="1"/>
        <v>-40493</v>
      </c>
      <c r="K13" s="18"/>
      <c r="L13" s="30">
        <v>37196</v>
      </c>
      <c r="M13" s="19" t="s">
        <v>71</v>
      </c>
      <c r="N13" s="37" t="s">
        <v>72</v>
      </c>
    </row>
    <row r="14" spans="1:14" ht="32.1" customHeight="1" x14ac:dyDescent="0.2">
      <c r="A14" s="19">
        <v>753261</v>
      </c>
      <c r="B14" s="19">
        <v>3663</v>
      </c>
      <c r="C14" s="19" t="s">
        <v>49</v>
      </c>
      <c r="D14" s="18" t="s">
        <v>73</v>
      </c>
      <c r="E14" s="18">
        <v>45435</v>
      </c>
      <c r="F14" s="18">
        <v>4162</v>
      </c>
      <c r="G14" s="18">
        <f t="shared" si="0"/>
        <v>-41273</v>
      </c>
      <c r="H14" s="18">
        <v>45298</v>
      </c>
      <c r="I14" s="18">
        <v>4149</v>
      </c>
      <c r="J14" s="18">
        <f t="shared" si="1"/>
        <v>-41149</v>
      </c>
      <c r="K14" s="18"/>
      <c r="L14" s="30">
        <v>37226</v>
      </c>
      <c r="M14" s="19" t="s">
        <v>51</v>
      </c>
      <c r="N14" s="36" t="s">
        <v>74</v>
      </c>
    </row>
    <row r="15" spans="1:14" ht="32.1" customHeight="1" x14ac:dyDescent="0.2">
      <c r="A15" s="19">
        <v>753261</v>
      </c>
      <c r="B15" s="19">
        <v>3663</v>
      </c>
      <c r="C15" s="19" t="s">
        <v>49</v>
      </c>
      <c r="D15" s="18" t="s">
        <v>73</v>
      </c>
      <c r="E15" s="18">
        <v>3906</v>
      </c>
      <c r="F15" s="18">
        <v>45435</v>
      </c>
      <c r="G15" s="18">
        <f t="shared" si="0"/>
        <v>41529</v>
      </c>
      <c r="H15" s="18">
        <v>3894</v>
      </c>
      <c r="I15" s="18">
        <v>45298</v>
      </c>
      <c r="J15" s="18">
        <f t="shared" si="1"/>
        <v>41404</v>
      </c>
      <c r="K15" s="18"/>
      <c r="L15" s="30">
        <v>37226</v>
      </c>
      <c r="M15" s="19" t="s">
        <v>51</v>
      </c>
      <c r="N15" s="36" t="s">
        <v>74</v>
      </c>
    </row>
    <row r="16" spans="1:14" ht="32.1" customHeight="1" x14ac:dyDescent="0.2">
      <c r="A16" s="19">
        <v>688381</v>
      </c>
      <c r="B16" s="19">
        <v>505</v>
      </c>
      <c r="C16" s="19" t="s">
        <v>53</v>
      </c>
      <c r="D16" s="18" t="s">
        <v>75</v>
      </c>
      <c r="E16" s="18">
        <v>0</v>
      </c>
      <c r="F16" s="18">
        <v>45757</v>
      </c>
      <c r="G16" s="18">
        <f t="shared" si="0"/>
        <v>45757</v>
      </c>
      <c r="H16" s="18">
        <v>0</v>
      </c>
      <c r="I16" s="18">
        <v>45757</v>
      </c>
      <c r="J16" s="18">
        <f t="shared" si="1"/>
        <v>45757</v>
      </c>
      <c r="K16" s="18"/>
      <c r="L16" s="30">
        <v>37226</v>
      </c>
      <c r="M16" s="19" t="s">
        <v>62</v>
      </c>
      <c r="N16" s="37" t="s">
        <v>63</v>
      </c>
    </row>
    <row r="17" spans="1:14" ht="32.1" customHeight="1" x14ac:dyDescent="0.2">
      <c r="A17" s="19">
        <v>688103</v>
      </c>
      <c r="B17" s="19">
        <v>503</v>
      </c>
      <c r="C17" s="19" t="s">
        <v>49</v>
      </c>
      <c r="D17" s="18" t="s">
        <v>76</v>
      </c>
      <c r="E17" s="18">
        <v>0</v>
      </c>
      <c r="F17" s="18">
        <v>45757</v>
      </c>
      <c r="G17" s="18">
        <f>+F17-E17</f>
        <v>45757</v>
      </c>
      <c r="H17" s="18">
        <v>0</v>
      </c>
      <c r="I17" s="18">
        <v>45757</v>
      </c>
      <c r="J17" s="18">
        <f>+I17-H17</f>
        <v>45757</v>
      </c>
      <c r="K17" s="18"/>
      <c r="L17" s="30">
        <v>37226</v>
      </c>
      <c r="M17" s="19" t="s">
        <v>62</v>
      </c>
      <c r="N17" s="37" t="s">
        <v>63</v>
      </c>
    </row>
    <row r="18" spans="1:14" ht="32.1" customHeight="1" x14ac:dyDescent="0.2">
      <c r="A18" s="19">
        <v>961222</v>
      </c>
      <c r="B18" s="19">
        <v>0</v>
      </c>
      <c r="C18" s="19" t="s">
        <v>49</v>
      </c>
      <c r="D18" s="18" t="s">
        <v>77</v>
      </c>
      <c r="E18" s="18">
        <v>4827</v>
      </c>
      <c r="F18" s="18">
        <v>51672</v>
      </c>
      <c r="G18" s="18">
        <f t="shared" si="0"/>
        <v>46845</v>
      </c>
      <c r="H18" s="18">
        <v>4868</v>
      </c>
      <c r="I18" s="18">
        <v>52108</v>
      </c>
      <c r="J18" s="18">
        <f t="shared" si="1"/>
        <v>47240</v>
      </c>
      <c r="K18" s="18"/>
      <c r="L18" s="30">
        <v>37226</v>
      </c>
      <c r="M18" s="19" t="s">
        <v>62</v>
      </c>
      <c r="N18" s="36" t="s">
        <v>78</v>
      </c>
    </row>
    <row r="19" spans="1:14" ht="32.1" customHeight="1" x14ac:dyDescent="0.2">
      <c r="A19" s="19">
        <v>764016</v>
      </c>
      <c r="B19" s="19">
        <v>22933</v>
      </c>
      <c r="C19" s="19" t="s">
        <v>49</v>
      </c>
      <c r="D19" s="18" t="s">
        <v>79</v>
      </c>
      <c r="E19" s="18">
        <v>2587</v>
      </c>
      <c r="F19" s="18">
        <v>49575</v>
      </c>
      <c r="G19" s="18">
        <f>+F19-E19</f>
        <v>46988</v>
      </c>
      <c r="H19" s="18">
        <v>2564</v>
      </c>
      <c r="I19" s="18">
        <v>49141</v>
      </c>
      <c r="J19" s="18">
        <f>+I19-H19</f>
        <v>46577</v>
      </c>
      <c r="K19" s="18"/>
      <c r="L19" s="30">
        <v>37196</v>
      </c>
      <c r="M19" s="19" t="s">
        <v>80</v>
      </c>
      <c r="N19" s="31" t="s">
        <v>81</v>
      </c>
    </row>
    <row r="20" spans="1:14" ht="32.1" customHeight="1" x14ac:dyDescent="0.2">
      <c r="A20" s="19">
        <v>961044</v>
      </c>
      <c r="B20" s="19">
        <v>0</v>
      </c>
      <c r="C20" s="19" t="s">
        <v>49</v>
      </c>
      <c r="D20" s="18" t="s">
        <v>82</v>
      </c>
      <c r="E20" s="18">
        <v>33145</v>
      </c>
      <c r="F20" s="18">
        <v>8899</v>
      </c>
      <c r="G20" s="18">
        <f>+F20-E20</f>
        <v>-24246</v>
      </c>
      <c r="H20" s="18">
        <v>34530</v>
      </c>
      <c r="I20" s="18">
        <v>9259</v>
      </c>
      <c r="J20" s="18">
        <f>+I20-H20</f>
        <v>-25271</v>
      </c>
      <c r="K20" s="18"/>
      <c r="L20" s="30">
        <v>37226</v>
      </c>
      <c r="M20" s="19" t="s">
        <v>55</v>
      </c>
      <c r="N20" s="36" t="s">
        <v>83</v>
      </c>
    </row>
    <row r="21" spans="1:14" ht="32.1" customHeight="1" x14ac:dyDescent="0.2">
      <c r="A21" s="19">
        <v>820046</v>
      </c>
      <c r="B21" s="19">
        <v>62834</v>
      </c>
      <c r="C21" s="19" t="s">
        <v>49</v>
      </c>
      <c r="D21" s="18" t="s">
        <v>69</v>
      </c>
      <c r="E21" s="18">
        <v>0</v>
      </c>
      <c r="F21" s="18">
        <v>118881</v>
      </c>
      <c r="G21" s="18">
        <f>+F21-E21</f>
        <v>118881</v>
      </c>
      <c r="H21" s="18">
        <v>0</v>
      </c>
      <c r="I21" s="18">
        <v>118881</v>
      </c>
      <c r="J21" s="18">
        <f>+I21-H21</f>
        <v>118881</v>
      </c>
      <c r="K21" s="18"/>
      <c r="L21" s="30">
        <v>37226</v>
      </c>
      <c r="M21" s="19" t="s">
        <v>51</v>
      </c>
      <c r="N21" s="36" t="s">
        <v>56</v>
      </c>
    </row>
    <row r="22" spans="1:14" ht="32.1" customHeight="1" x14ac:dyDescent="0.2">
      <c r="E22" s="18"/>
      <c r="F22" s="18"/>
      <c r="G22" s="18">
        <f>+F22-E22</f>
        <v>0</v>
      </c>
      <c r="H22" s="18"/>
      <c r="I22" s="18"/>
      <c r="J22" s="18">
        <f>+I22-H22</f>
        <v>0</v>
      </c>
      <c r="K22" s="18"/>
      <c r="L22" s="30"/>
      <c r="N22" s="36"/>
    </row>
    <row r="23" spans="1:14" x14ac:dyDescent="0.2">
      <c r="E23" s="18"/>
      <c r="F23" s="18"/>
      <c r="G23" s="18"/>
      <c r="H23" s="18"/>
      <c r="I23" s="18"/>
      <c r="J23" s="18"/>
      <c r="K23" s="18"/>
      <c r="L23" s="30"/>
      <c r="N23" s="36"/>
    </row>
    <row r="24" spans="1:14" x14ac:dyDescent="0.2">
      <c r="E24" s="18"/>
      <c r="F24" s="18"/>
      <c r="G24" s="18"/>
      <c r="H24" s="18"/>
      <c r="I24" s="18"/>
      <c r="J24" s="18"/>
      <c r="K24" s="18"/>
      <c r="L24" s="30"/>
      <c r="N24" s="36"/>
    </row>
    <row r="25" spans="1:14" x14ac:dyDescent="0.2">
      <c r="E25" s="18"/>
      <c r="F25" s="18"/>
      <c r="G25" s="18"/>
      <c r="H25" s="18"/>
      <c r="I25" s="18"/>
      <c r="J25" s="18"/>
      <c r="K25" s="18"/>
      <c r="L25" s="18"/>
      <c r="N25" s="36"/>
    </row>
    <row r="26" spans="1:14" x14ac:dyDescent="0.2">
      <c r="E26" s="18"/>
      <c r="F26" s="18"/>
      <c r="G26" s="18"/>
      <c r="H26" s="18"/>
      <c r="I26" s="18"/>
      <c r="J26" s="18"/>
      <c r="K26" s="18"/>
      <c r="L26" s="18"/>
      <c r="N26" s="36"/>
    </row>
    <row r="27" spans="1:14" x14ac:dyDescent="0.2">
      <c r="E27" s="18"/>
      <c r="F27" s="18"/>
      <c r="G27" s="18"/>
      <c r="H27" s="18"/>
      <c r="I27" s="18"/>
      <c r="J27" s="18"/>
      <c r="K27" s="18"/>
      <c r="L27" s="18"/>
      <c r="N27" s="36"/>
    </row>
    <row r="28" spans="1:14" x14ac:dyDescent="0.2">
      <c r="E28" s="18"/>
      <c r="F28" s="18"/>
      <c r="G28" s="18"/>
      <c r="H28" s="18"/>
      <c r="I28" s="18"/>
      <c r="J28" s="18"/>
      <c r="K28" s="18"/>
      <c r="L28" s="18"/>
      <c r="N28" s="36"/>
    </row>
    <row r="29" spans="1:14" x14ac:dyDescent="0.2">
      <c r="E29" s="18"/>
      <c r="F29" s="18"/>
      <c r="G29" s="18"/>
      <c r="H29" s="18"/>
      <c r="I29" s="18"/>
      <c r="J29" s="18"/>
      <c r="K29" s="18"/>
      <c r="L29" s="18"/>
      <c r="N29" s="36"/>
    </row>
    <row r="30" spans="1:14" x14ac:dyDescent="0.2">
      <c r="E30" s="18"/>
      <c r="F30" s="18"/>
      <c r="G30" s="18"/>
      <c r="H30" s="18"/>
      <c r="I30" s="18"/>
      <c r="J30" s="18"/>
      <c r="K30" s="18"/>
      <c r="L30" s="18"/>
      <c r="N30" s="36"/>
    </row>
    <row r="31" spans="1:14" x14ac:dyDescent="0.2">
      <c r="E31" s="18"/>
      <c r="F31" s="18"/>
      <c r="G31" s="18"/>
      <c r="H31" s="18"/>
      <c r="I31" s="18"/>
      <c r="J31" s="18"/>
      <c r="K31" s="18"/>
      <c r="L31" s="18"/>
      <c r="N31" s="36"/>
    </row>
    <row r="32" spans="1:14" x14ac:dyDescent="0.2">
      <c r="E32" s="18"/>
      <c r="F32" s="18"/>
      <c r="G32" s="18"/>
      <c r="H32" s="18"/>
      <c r="I32" s="18"/>
      <c r="J32" s="18"/>
      <c r="K32" s="18"/>
      <c r="L32" s="18"/>
      <c r="N32" s="36"/>
    </row>
    <row r="33" spans="5:14" x14ac:dyDescent="0.2">
      <c r="E33" s="18"/>
      <c r="F33" s="18"/>
      <c r="G33" s="18"/>
      <c r="H33" s="18"/>
      <c r="I33" s="18"/>
      <c r="J33" s="18"/>
      <c r="K33" s="18"/>
      <c r="L33" s="18"/>
      <c r="N33" s="36"/>
    </row>
    <row r="34" spans="5:14" x14ac:dyDescent="0.2">
      <c r="E34" s="18"/>
      <c r="F34" s="18"/>
      <c r="G34" s="18"/>
      <c r="H34" s="18"/>
      <c r="I34" s="18"/>
      <c r="J34" s="18"/>
      <c r="K34" s="18"/>
      <c r="L34" s="18"/>
      <c r="N34" s="36"/>
    </row>
    <row r="35" spans="5:14" x14ac:dyDescent="0.2">
      <c r="E35" s="18"/>
      <c r="F35" s="18"/>
      <c r="G35" s="18"/>
      <c r="H35" s="18"/>
      <c r="I35" s="18"/>
      <c r="J35" s="18"/>
      <c r="K35" s="18"/>
      <c r="L35" s="18"/>
      <c r="N35" s="36"/>
    </row>
    <row r="36" spans="5:14" x14ac:dyDescent="0.2">
      <c r="E36" s="18"/>
      <c r="F36" s="18"/>
      <c r="G36" s="33"/>
      <c r="H36" s="18"/>
      <c r="I36" s="18"/>
      <c r="J36" s="33"/>
      <c r="L36" s="35"/>
      <c r="N36" s="36"/>
    </row>
    <row r="37" spans="5:14" x14ac:dyDescent="0.2">
      <c r="E37" s="18"/>
      <c r="F37" s="18"/>
      <c r="G37" s="33"/>
      <c r="H37" s="18"/>
      <c r="I37" s="18"/>
      <c r="J37" s="33"/>
      <c r="L37" s="35"/>
      <c r="N37" s="36"/>
    </row>
    <row r="38" spans="5:14" x14ac:dyDescent="0.2">
      <c r="E38" s="18"/>
      <c r="F38" s="18"/>
      <c r="G38" s="33"/>
      <c r="H38" s="18"/>
      <c r="I38" s="18"/>
      <c r="J38" s="33"/>
      <c r="L38" s="35"/>
      <c r="N38" s="36"/>
    </row>
    <row r="39" spans="5:14" x14ac:dyDescent="0.2">
      <c r="E39" s="18"/>
      <c r="F39" s="18"/>
      <c r="G39" s="33"/>
      <c r="H39" s="18"/>
      <c r="I39" s="18"/>
      <c r="J39" s="33"/>
      <c r="L39" s="35"/>
      <c r="N39" s="36"/>
    </row>
    <row r="40" spans="5:14" x14ac:dyDescent="0.2">
      <c r="E40" s="18"/>
      <c r="F40" s="18"/>
      <c r="G40" s="33"/>
      <c r="H40" s="18"/>
      <c r="I40" s="18"/>
      <c r="J40" s="33"/>
      <c r="L40" s="35"/>
      <c r="N40" s="36"/>
    </row>
    <row r="41" spans="5:14" x14ac:dyDescent="0.2">
      <c r="E41" s="18"/>
      <c r="F41" s="18"/>
      <c r="G41" s="33"/>
      <c r="H41" s="18"/>
      <c r="I41" s="18"/>
      <c r="J41" s="33"/>
      <c r="L41" s="35"/>
      <c r="N41" s="36"/>
    </row>
    <row r="42" spans="5:14" x14ac:dyDescent="0.2">
      <c r="E42" s="33"/>
      <c r="F42" s="33"/>
      <c r="G42" s="33"/>
      <c r="H42" s="33"/>
      <c r="I42" s="33"/>
      <c r="J42" s="33"/>
      <c r="K42" s="18"/>
      <c r="L42" s="30"/>
      <c r="N42" s="37"/>
    </row>
    <row r="43" spans="5:14" x14ac:dyDescent="0.2">
      <c r="E43" s="34"/>
      <c r="F43" s="34"/>
      <c r="G43" s="33"/>
      <c r="H43" s="34"/>
      <c r="I43" s="34"/>
      <c r="J43" s="33"/>
      <c r="K43" s="18"/>
      <c r="L43" s="30"/>
      <c r="N43" s="37"/>
    </row>
    <row r="44" spans="5:14" x14ac:dyDescent="0.2">
      <c r="E44" s="34"/>
      <c r="F44" s="34"/>
      <c r="G44" s="33"/>
      <c r="H44" s="34"/>
      <c r="I44" s="34"/>
      <c r="J44" s="33"/>
      <c r="K44" s="18"/>
      <c r="L44" s="30"/>
      <c r="N44" s="37"/>
    </row>
    <row r="45" spans="5:14" x14ac:dyDescent="0.2">
      <c r="E45" s="34"/>
      <c r="F45" s="34"/>
      <c r="G45" s="33"/>
      <c r="H45" s="34"/>
      <c r="I45" s="34"/>
      <c r="J45" s="33"/>
      <c r="K45" s="18"/>
      <c r="L45" s="30"/>
      <c r="N45" s="37"/>
    </row>
    <row r="46" spans="5:14" x14ac:dyDescent="0.2">
      <c r="E46" s="34"/>
      <c r="F46" s="34"/>
      <c r="G46" s="33"/>
      <c r="H46" s="34"/>
      <c r="I46" s="34"/>
      <c r="J46" s="33"/>
      <c r="K46" s="18"/>
      <c r="L46" s="30"/>
      <c r="N46" s="37"/>
    </row>
    <row r="47" spans="5:14" x14ac:dyDescent="0.2">
      <c r="E47" s="34"/>
      <c r="F47" s="34"/>
      <c r="G47" s="33"/>
      <c r="H47" s="34"/>
      <c r="I47" s="34"/>
      <c r="J47" s="33"/>
      <c r="K47" s="18"/>
      <c r="L47" s="30"/>
      <c r="N47" s="37"/>
    </row>
    <row r="48" spans="5:14" x14ac:dyDescent="0.2">
      <c r="E48" s="34"/>
      <c r="F48" s="34"/>
      <c r="G48" s="33"/>
      <c r="H48" s="34"/>
      <c r="I48" s="34"/>
      <c r="J48" s="33"/>
      <c r="K48" s="18"/>
      <c r="L48" s="30"/>
      <c r="N48" s="37"/>
    </row>
    <row r="49" spans="4:14" x14ac:dyDescent="0.2">
      <c r="E49" s="34"/>
      <c r="F49" s="34"/>
      <c r="G49" s="33"/>
      <c r="H49" s="34"/>
      <c r="I49" s="34"/>
      <c r="J49" s="33"/>
      <c r="K49" s="18"/>
      <c r="L49" s="30"/>
      <c r="N49" s="37"/>
    </row>
    <row r="50" spans="4:14" x14ac:dyDescent="0.2">
      <c r="E50" s="34"/>
      <c r="F50" s="34"/>
      <c r="G50" s="33"/>
      <c r="H50" s="34"/>
      <c r="I50" s="34"/>
      <c r="J50" s="33"/>
      <c r="K50" s="18"/>
      <c r="L50" s="30"/>
      <c r="N50" s="37"/>
    </row>
    <row r="51" spans="4:14" x14ac:dyDescent="0.2">
      <c r="E51" s="18"/>
      <c r="F51" s="18"/>
      <c r="G51" s="33"/>
      <c r="H51" s="18"/>
      <c r="I51" s="18"/>
      <c r="J51" s="33"/>
      <c r="K51" s="18"/>
      <c r="L51" s="30"/>
      <c r="N51" s="37"/>
    </row>
    <row r="52" spans="4:14" x14ac:dyDescent="0.2">
      <c r="E52" s="18"/>
      <c r="F52" s="18"/>
      <c r="G52" s="33"/>
      <c r="H52" s="18"/>
      <c r="I52" s="18"/>
      <c r="J52" s="33"/>
      <c r="K52" s="18"/>
      <c r="L52" s="30"/>
      <c r="N52" s="37"/>
    </row>
    <row r="53" spans="4:14" x14ac:dyDescent="0.2">
      <c r="E53" s="18"/>
      <c r="F53" s="18"/>
      <c r="G53" s="33"/>
      <c r="H53" s="18"/>
      <c r="I53" s="18"/>
      <c r="J53" s="33"/>
      <c r="K53" s="18"/>
      <c r="L53" s="30"/>
      <c r="M53" s="35"/>
      <c r="N53" s="37"/>
    </row>
    <row r="54" spans="4:14" x14ac:dyDescent="0.2">
      <c r="D54" s="32"/>
      <c r="E54" s="18"/>
      <c r="F54" s="18"/>
      <c r="G54" s="33"/>
      <c r="H54" s="18"/>
      <c r="I54" s="18"/>
      <c r="J54" s="33"/>
      <c r="K54" s="18"/>
      <c r="L54" s="30"/>
      <c r="N54" s="36"/>
    </row>
    <row r="55" spans="4:14" x14ac:dyDescent="0.2">
      <c r="E55" s="18"/>
      <c r="F55" s="18"/>
      <c r="G55" s="18"/>
      <c r="H55" s="18"/>
      <c r="I55" s="18"/>
      <c r="J55" s="18"/>
      <c r="K55" s="18"/>
      <c r="L55" s="18"/>
      <c r="N55" s="36"/>
    </row>
    <row r="56" spans="4:14" x14ac:dyDescent="0.2">
      <c r="E56" s="18"/>
      <c r="F56" s="18"/>
      <c r="G56" s="18"/>
      <c r="H56" s="18"/>
      <c r="I56" s="18"/>
      <c r="J56" s="18"/>
      <c r="K56" s="18"/>
      <c r="L56" s="18"/>
      <c r="N56" s="36"/>
    </row>
    <row r="57" spans="4:14" x14ac:dyDescent="0.2">
      <c r="E57" s="18"/>
      <c r="F57" s="18"/>
      <c r="G57" s="18"/>
      <c r="H57" s="18"/>
      <c r="I57" s="18"/>
      <c r="J57" s="18"/>
      <c r="K57" s="18"/>
      <c r="L57" s="18"/>
      <c r="N57" s="36"/>
    </row>
    <row r="58" spans="4:14" x14ac:dyDescent="0.2">
      <c r="E58" s="18"/>
      <c r="F58" s="18"/>
      <c r="G58" s="18"/>
      <c r="H58" s="18"/>
      <c r="I58" s="18"/>
      <c r="J58" s="18"/>
      <c r="K58" s="18"/>
      <c r="L58" s="18"/>
      <c r="N58" s="36"/>
    </row>
    <row r="59" spans="4:14" x14ac:dyDescent="0.2">
      <c r="E59" s="18"/>
      <c r="F59" s="18"/>
      <c r="G59" s="18"/>
      <c r="H59" s="18"/>
      <c r="I59" s="18"/>
      <c r="J59" s="18"/>
      <c r="K59" s="18"/>
      <c r="L59" s="18"/>
      <c r="N59" s="36"/>
    </row>
    <row r="60" spans="4:14" x14ac:dyDescent="0.2">
      <c r="E60" s="18"/>
      <c r="F60" s="18"/>
      <c r="G60" s="18"/>
      <c r="H60" s="18"/>
      <c r="I60" s="18"/>
      <c r="J60" s="18"/>
      <c r="K60" s="18"/>
      <c r="L60" s="18"/>
      <c r="N60" s="36"/>
    </row>
    <row r="61" spans="4:14" x14ac:dyDescent="0.2">
      <c r="E61" s="18"/>
      <c r="F61" s="18"/>
      <c r="G61" s="18"/>
      <c r="H61" s="18"/>
      <c r="I61" s="18"/>
      <c r="J61" s="18"/>
      <c r="K61" s="18"/>
      <c r="L61" s="18"/>
      <c r="N61" s="36"/>
    </row>
    <row r="62" spans="4:14" x14ac:dyDescent="0.2">
      <c r="E62" s="18"/>
      <c r="F62" s="18"/>
      <c r="G62" s="18"/>
      <c r="H62" s="18"/>
      <c r="I62" s="18"/>
      <c r="J62" s="18"/>
      <c r="K62" s="18"/>
      <c r="L62" s="18"/>
      <c r="N62" s="36"/>
    </row>
    <row r="63" spans="4:14" x14ac:dyDescent="0.2">
      <c r="E63" s="18"/>
      <c r="F63" s="18"/>
      <c r="G63" s="18"/>
      <c r="H63" s="18"/>
      <c r="I63" s="18"/>
      <c r="J63" s="18"/>
      <c r="K63" s="18"/>
      <c r="L63" s="18"/>
      <c r="N63" s="36"/>
    </row>
    <row r="64" spans="4:14" x14ac:dyDescent="0.2">
      <c r="E64" s="18"/>
      <c r="F64" s="18"/>
      <c r="G64" s="18"/>
      <c r="H64" s="18"/>
      <c r="I64" s="18"/>
      <c r="J64" s="18"/>
      <c r="K64" s="18"/>
      <c r="L64" s="18"/>
      <c r="N64" s="36"/>
    </row>
    <row r="65" spans="5:14" x14ac:dyDescent="0.2">
      <c r="E65" s="18"/>
      <c r="F65" s="18"/>
      <c r="G65" s="18"/>
      <c r="H65" s="18"/>
      <c r="I65" s="18"/>
      <c r="J65" s="18"/>
      <c r="K65" s="18"/>
      <c r="L65" s="18"/>
      <c r="N65" s="36"/>
    </row>
    <row r="66" spans="5:14" x14ac:dyDescent="0.2">
      <c r="E66" s="18"/>
      <c r="F66" s="18"/>
      <c r="G66" s="18"/>
      <c r="H66" s="18"/>
      <c r="I66" s="18"/>
      <c r="J66" s="18"/>
      <c r="K66" s="18"/>
      <c r="L66" s="18"/>
      <c r="N66" s="36"/>
    </row>
    <row r="67" spans="5:14" x14ac:dyDescent="0.2">
      <c r="E67" s="18"/>
      <c r="F67" s="18"/>
      <c r="G67" s="18"/>
      <c r="H67" s="18"/>
      <c r="I67" s="18"/>
      <c r="J67" s="18"/>
      <c r="K67" s="18"/>
      <c r="L67" s="18"/>
      <c r="N67" s="36"/>
    </row>
    <row r="68" spans="5:14" x14ac:dyDescent="0.2">
      <c r="E68" s="18"/>
      <c r="F68" s="18"/>
      <c r="G68" s="18"/>
      <c r="H68" s="18"/>
      <c r="I68" s="18"/>
      <c r="J68" s="18"/>
      <c r="K68" s="18"/>
      <c r="L68" s="18"/>
      <c r="N68" s="36"/>
    </row>
    <row r="69" spans="5:14" x14ac:dyDescent="0.2">
      <c r="E69" s="18"/>
      <c r="F69" s="18"/>
      <c r="G69" s="18"/>
      <c r="H69" s="18"/>
      <c r="I69" s="18"/>
      <c r="J69" s="18"/>
      <c r="K69" s="18"/>
      <c r="L69" s="18"/>
      <c r="N69" s="36"/>
    </row>
    <row r="70" spans="5:14" x14ac:dyDescent="0.2">
      <c r="E70" s="18"/>
      <c r="F70" s="18"/>
      <c r="G70" s="18"/>
      <c r="H70" s="18"/>
      <c r="I70" s="18"/>
      <c r="J70" s="18"/>
      <c r="K70" s="18"/>
      <c r="L70" s="18"/>
      <c r="N70" s="36"/>
    </row>
    <row r="71" spans="5:14" x14ac:dyDescent="0.2">
      <c r="E71" s="18"/>
      <c r="F71" s="18"/>
      <c r="G71" s="18"/>
      <c r="H71" s="18"/>
      <c r="I71" s="18"/>
      <c r="J71" s="18"/>
      <c r="K71" s="18"/>
      <c r="L71" s="18"/>
      <c r="N71" s="36"/>
    </row>
    <row r="72" spans="5:14" x14ac:dyDescent="0.2">
      <c r="E72" s="18"/>
      <c r="F72" s="18"/>
      <c r="G72" s="18"/>
      <c r="H72" s="18"/>
      <c r="I72" s="18"/>
      <c r="J72" s="18"/>
      <c r="K72" s="18"/>
      <c r="L72" s="18"/>
      <c r="N72" s="36"/>
    </row>
    <row r="73" spans="5:14" x14ac:dyDescent="0.2">
      <c r="E73" s="18"/>
      <c r="F73" s="18"/>
      <c r="G73" s="18"/>
      <c r="H73" s="18"/>
      <c r="I73" s="18"/>
      <c r="J73" s="18"/>
      <c r="K73" s="18"/>
      <c r="L73" s="18"/>
      <c r="N73" s="36"/>
    </row>
    <row r="74" spans="5:14" x14ac:dyDescent="0.2">
      <c r="E74" s="18"/>
      <c r="F74" s="18"/>
      <c r="G74" s="18"/>
      <c r="H74" s="18"/>
      <c r="I74" s="18"/>
      <c r="J74" s="18"/>
      <c r="K74" s="18"/>
      <c r="L74" s="18"/>
      <c r="N74" s="36"/>
    </row>
    <row r="75" spans="5:14" x14ac:dyDescent="0.2">
      <c r="E75" s="18"/>
      <c r="F75" s="18"/>
      <c r="G75" s="18"/>
      <c r="H75" s="18"/>
      <c r="I75" s="18"/>
      <c r="J75" s="18"/>
      <c r="K75" s="18"/>
      <c r="L75" s="18"/>
      <c r="N75" s="36"/>
    </row>
    <row r="76" spans="5:14" x14ac:dyDescent="0.2">
      <c r="E76" s="18"/>
      <c r="F76" s="18"/>
      <c r="G76" s="18"/>
      <c r="H76" s="18"/>
      <c r="I76" s="18"/>
      <c r="J76" s="18"/>
      <c r="K76" s="18"/>
      <c r="L76" s="18"/>
      <c r="N76" s="36"/>
    </row>
    <row r="77" spans="5:14" x14ac:dyDescent="0.2">
      <c r="E77" s="18"/>
      <c r="F77" s="18"/>
      <c r="G77" s="18"/>
      <c r="H77" s="18"/>
      <c r="I77" s="18"/>
      <c r="J77" s="18"/>
      <c r="K77" s="18"/>
      <c r="L77" s="18"/>
      <c r="N77" s="36"/>
    </row>
  </sheetData>
  <phoneticPr fontId="6" type="noConversion"/>
  <printOptions horizontalCentered="1" verticalCentered="1" gridLines="1" gridLinesSet="0"/>
  <pageMargins left="0.25" right="0.24" top="1" bottom="1" header="0.5" footer="0.5"/>
  <pageSetup scale="69" orientation="landscape" horizontalDpi="300" verticalDpi="300" r:id="rId1"/>
  <headerFooter alignWithMargins="0">
    <oddHeader>&amp;C&amp;"Arial,Bold Italic"&amp;12NNG Corrections Over 25,000 DTH</oddHeader>
    <oddFooter>&amp;L&amp;F&amp;CPage &amp;P&amp;R&amp;D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NNG 2001 &amp; 2002 DTH COMPARISON</vt:lpstr>
      <vt:lpstr>NNG  DTH PRA  12 MONTH</vt:lpstr>
      <vt:lpstr>NNG CYTD DTH 2000</vt:lpstr>
      <vt:lpstr>NNG Corrections</vt:lpstr>
      <vt:lpstr>'NNG Corrections'!Print_Titles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NNG Pipeline Balance Report</dc:title>
  <dc:subject>12-Month Recap</dc:subject>
  <dc:creator>Denise Czaplewski</dc:creator>
  <cp:lastModifiedBy>Jan Havlíček</cp:lastModifiedBy>
  <cp:lastPrinted>2002-02-22T18:37:48Z</cp:lastPrinted>
  <dcterms:created xsi:type="dcterms:W3CDTF">1996-11-20T13:26:29Z</dcterms:created>
  <dcterms:modified xsi:type="dcterms:W3CDTF">2023-09-10T12:28:47Z</dcterms:modified>
</cp:coreProperties>
</file>