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C74950-4DDC-432F-A94B-838C32DB0FAB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" r:id="rId1"/>
    <sheet name="April 07 " sheetId="3" r:id="rId2"/>
    <sheet name="April 12" sheetId="4" r:id="rId3"/>
    <sheet name="April 15" sheetId="5" r:id="rId4"/>
    <sheet name="April 16" sheetId="6" r:id="rId5"/>
    <sheet name="April 26" sheetId="7" r:id="rId6"/>
    <sheet name="May 21" sheetId="8" r:id="rId7"/>
    <sheet name="May 27" sheetId="9" r:id="rId8"/>
    <sheet name="May 28" sheetId="10" r:id="rId9"/>
    <sheet name="June 3" sheetId="11" r:id="rId10"/>
    <sheet name="June 4" sheetId="12" r:id="rId11"/>
    <sheet name="June 12" sheetId="13" r:id="rId12"/>
  </sheets>
  <definedNames>
    <definedName name="ctar0407">'April 07 '!$A$10:$U$26</definedName>
    <definedName name="ctar0412">'April 12'!$A$10:$U$26</definedName>
    <definedName name="ctar0415">'April 15'!$A$10:$U$26</definedName>
    <definedName name="ctar0416">'April 16'!$A$10:$U$26</definedName>
    <definedName name="ctar0426">'April 26'!$A$10:$U$26</definedName>
    <definedName name="ctar0521">'May 21'!$A$10:$U$26</definedName>
    <definedName name="ctar0527">'May 27'!$A$10:$U$26</definedName>
    <definedName name="ctar0528">'May 28'!$A$10:$U$26</definedName>
    <definedName name="ctar0603">'June 3'!$A$10:$U$26</definedName>
    <definedName name="ctar0604">'June 4'!$A$10:$U$26</definedName>
    <definedName name="ctar0612">'June 12'!$A$10:$U$26</definedName>
    <definedName name="nbaa0407">'April 07 '!$A$31:$T$54</definedName>
    <definedName name="nbaa0412">'April 12'!$A$31:$U$54</definedName>
    <definedName name="nbaa0415">'April 15'!$A$30:$U$53</definedName>
    <definedName name="nbaa0416">'April 16'!$A$31:$U$54</definedName>
    <definedName name="nbaa0426">'April 26'!$A$31:$U$54</definedName>
    <definedName name="nbaa0521">'May 21'!$A$31:$U$53</definedName>
    <definedName name="nbaa0527">'May 27'!$A$31:$U$53</definedName>
    <definedName name="nbaa0528">'May 28'!$A$31:$U$53</definedName>
    <definedName name="nbaa0603">'June 3'!$A$31:$U$53</definedName>
    <definedName name="nbaa0604">'June 4'!$A$30:$U$52</definedName>
    <definedName name="nbaa0612">'June 12'!$A$30:$U$52</definedName>
    <definedName name="ngsa0407">'April 07 '!$A$59:$U$99</definedName>
    <definedName name="ngsa0412">'April 12'!$A$59:$U$96</definedName>
    <definedName name="ngsa0415">'April 15'!$A$58:$U$95</definedName>
    <definedName name="ngsa0416">'April 16'!$A$59:$U$96</definedName>
    <definedName name="ngsa0426">'April 26'!$A$59:$U$96</definedName>
    <definedName name="ngsa0521">'May 21'!$A$58:$U$87</definedName>
    <definedName name="ngsa0527">'May 27'!$A$58:$U$87</definedName>
    <definedName name="ngsa0528">'May 28'!$A$58:$U$87</definedName>
    <definedName name="ngsa0603">'June 3'!$A$58:$U$89</definedName>
    <definedName name="ngsa0604">'June 4'!$A$56:$U$85</definedName>
    <definedName name="ngsa0612">'June 12'!$A$57:$U$86</definedName>
    <definedName name="_xlnm.Print_Area" localSheetId="1">'April 07 '!$A$1:$S$101</definedName>
    <definedName name="_xlnm.Print_Area" localSheetId="2">'April 12'!$A$1:$S$98</definedName>
    <definedName name="_xlnm.Print_Area" localSheetId="3">'April 15'!$A$1:$S$97</definedName>
    <definedName name="_xlnm.Print_Area" localSheetId="4">'April 16'!$A$1:$S$98</definedName>
    <definedName name="_xlnm.Print_Area" localSheetId="5">'April 26'!$A$1:$S$98</definedName>
    <definedName name="_xlnm.Print_Area" localSheetId="11">'June 12'!$A$1:$S$88</definedName>
    <definedName name="_xlnm.Print_Area" localSheetId="9">'June 3'!$A$1:$S$91</definedName>
    <definedName name="_xlnm.Print_Area" localSheetId="10">'June 4'!$A$1:$S$87</definedName>
    <definedName name="_xlnm.Print_Area" localSheetId="6">'May 21'!$A$1:$S$89</definedName>
    <definedName name="_xlnm.Print_Area" localSheetId="7">'May 27'!$A$1:$S$89</definedName>
    <definedName name="_xlnm.Print_Area" localSheetId="8">'May 28'!$A$1:$S$89</definedName>
    <definedName name="_xlnm.Print_Area" localSheetId="0">Summary!$A$1:$G$98</definedName>
    <definedName name="_xlnm.Print_Titles" localSheetId="1">'April 07 '!$1:$8</definedName>
    <definedName name="_xlnm.Print_Titles" localSheetId="2">'April 12'!$1:$8</definedName>
    <definedName name="_xlnm.Print_Titles" localSheetId="3">'April 15'!$1:$8</definedName>
    <definedName name="_xlnm.Print_Titles" localSheetId="4">'April 16'!$1:$8</definedName>
    <definedName name="_xlnm.Print_Titles" localSheetId="5">'April 26'!$1:$8</definedName>
    <definedName name="_xlnm.Print_Titles" localSheetId="11">'June 12'!$1:$8</definedName>
    <definedName name="_xlnm.Print_Titles" localSheetId="9">'June 3'!$1:$8</definedName>
    <definedName name="_xlnm.Print_Titles" localSheetId="10">'June 4'!$1:$8</definedName>
    <definedName name="_xlnm.Print_Titles" localSheetId="6">'May 21'!$1:$8</definedName>
    <definedName name="_xlnm.Print_Titles" localSheetId="7">'May 27'!$1:$8</definedName>
    <definedName name="_xlnm.Print_Titles" localSheetId="8">'May 28'!$1:$8</definedName>
    <definedName name="_xlnm.Print_Titles" localSheetId="0">Summary!$1:$6</definedName>
  </definedNames>
  <calcPr calcId="0" calcMode="autoNoTable" fullCalcOnLoad="1"/>
</workbook>
</file>

<file path=xl/calcChain.xml><?xml version="1.0" encoding="utf-8"?>
<calcChain xmlns="http://schemas.openxmlformats.org/spreadsheetml/2006/main">
  <c r="C3" i="3" l="1"/>
  <c r="E8" i="3"/>
  <c r="H8" i="3"/>
  <c r="K8" i="3"/>
  <c r="N8" i="3"/>
  <c r="S8" i="3"/>
  <c r="O9" i="3"/>
  <c r="O10" i="3"/>
  <c r="P10" i="3"/>
  <c r="Q10" i="3"/>
  <c r="R10" i="3"/>
  <c r="S10" i="3"/>
  <c r="T10" i="3"/>
  <c r="U10" i="3"/>
  <c r="V10" i="3"/>
  <c r="O11" i="3"/>
  <c r="P11" i="3"/>
  <c r="Q11" i="3"/>
  <c r="R11" i="3"/>
  <c r="S11" i="3"/>
  <c r="T11" i="3"/>
  <c r="U11" i="3"/>
  <c r="V11" i="3"/>
  <c r="O12" i="3"/>
  <c r="P12" i="3"/>
  <c r="Q12" i="3"/>
  <c r="R12" i="3"/>
  <c r="S12" i="3"/>
  <c r="T12" i="3"/>
  <c r="U12" i="3"/>
  <c r="V12" i="3"/>
  <c r="O13" i="3"/>
  <c r="P13" i="3"/>
  <c r="Q13" i="3"/>
  <c r="R13" i="3"/>
  <c r="S13" i="3"/>
  <c r="T13" i="3"/>
  <c r="U13" i="3"/>
  <c r="V13" i="3"/>
  <c r="O14" i="3"/>
  <c r="P14" i="3"/>
  <c r="Q14" i="3"/>
  <c r="R14" i="3"/>
  <c r="S14" i="3"/>
  <c r="T14" i="3"/>
  <c r="U14" i="3"/>
  <c r="V14" i="3"/>
  <c r="O15" i="3"/>
  <c r="P15" i="3"/>
  <c r="Q15" i="3"/>
  <c r="R15" i="3"/>
  <c r="S15" i="3"/>
  <c r="T15" i="3"/>
  <c r="U15" i="3"/>
  <c r="V15" i="3"/>
  <c r="O16" i="3"/>
  <c r="P16" i="3"/>
  <c r="Q16" i="3"/>
  <c r="R16" i="3"/>
  <c r="S16" i="3"/>
  <c r="T16" i="3"/>
  <c r="U16" i="3"/>
  <c r="V16" i="3"/>
  <c r="O17" i="3"/>
  <c r="P17" i="3"/>
  <c r="Q17" i="3"/>
  <c r="R17" i="3"/>
  <c r="S17" i="3"/>
  <c r="T17" i="3"/>
  <c r="U17" i="3"/>
  <c r="V17" i="3"/>
  <c r="O18" i="3"/>
  <c r="P18" i="3"/>
  <c r="Q18" i="3"/>
  <c r="R18" i="3"/>
  <c r="S18" i="3"/>
  <c r="T18" i="3"/>
  <c r="U18" i="3"/>
  <c r="V18" i="3"/>
  <c r="O19" i="3"/>
  <c r="P19" i="3"/>
  <c r="Q19" i="3"/>
  <c r="R19" i="3"/>
  <c r="S19" i="3"/>
  <c r="T19" i="3"/>
  <c r="U19" i="3"/>
  <c r="V19" i="3"/>
  <c r="O20" i="3"/>
  <c r="P20" i="3"/>
  <c r="Q20" i="3"/>
  <c r="R20" i="3"/>
  <c r="S20" i="3"/>
  <c r="T20" i="3"/>
  <c r="U20" i="3"/>
  <c r="V20" i="3"/>
  <c r="O21" i="3"/>
  <c r="P21" i="3"/>
  <c r="Q21" i="3"/>
  <c r="R21" i="3"/>
  <c r="S21" i="3"/>
  <c r="T21" i="3"/>
  <c r="U21" i="3"/>
  <c r="V21" i="3"/>
  <c r="O22" i="3"/>
  <c r="P22" i="3"/>
  <c r="Q22" i="3"/>
  <c r="R22" i="3"/>
  <c r="S22" i="3"/>
  <c r="T22" i="3"/>
  <c r="U22" i="3"/>
  <c r="V22" i="3"/>
  <c r="O23" i="3"/>
  <c r="P23" i="3"/>
  <c r="Q23" i="3"/>
  <c r="R23" i="3"/>
  <c r="S23" i="3"/>
  <c r="T23" i="3"/>
  <c r="U23" i="3"/>
  <c r="V23" i="3"/>
  <c r="O24" i="3"/>
  <c r="P24" i="3"/>
  <c r="Q24" i="3"/>
  <c r="R24" i="3"/>
  <c r="S24" i="3"/>
  <c r="T24" i="3"/>
  <c r="U24" i="3"/>
  <c r="V24" i="3"/>
  <c r="O25" i="3"/>
  <c r="P25" i="3"/>
  <c r="Q25" i="3"/>
  <c r="R25" i="3"/>
  <c r="S25" i="3"/>
  <c r="T25" i="3"/>
  <c r="U25" i="3"/>
  <c r="V25" i="3"/>
  <c r="O26" i="3"/>
  <c r="P26" i="3"/>
  <c r="Q26" i="3"/>
  <c r="R26" i="3"/>
  <c r="S26" i="3"/>
  <c r="T26" i="3"/>
  <c r="U26" i="3"/>
  <c r="V26" i="3"/>
  <c r="O27" i="3"/>
  <c r="P27" i="3"/>
  <c r="Q27" i="3"/>
  <c r="R27" i="3"/>
  <c r="S27" i="3"/>
  <c r="T27" i="3"/>
  <c r="U27" i="3"/>
  <c r="V27" i="3"/>
  <c r="O28" i="3"/>
  <c r="P28" i="3"/>
  <c r="Q28" i="3"/>
  <c r="R28" i="3"/>
  <c r="S28" i="3"/>
  <c r="T28" i="3"/>
  <c r="U28" i="3"/>
  <c r="V28" i="3"/>
  <c r="O29" i="3"/>
  <c r="P29" i="3"/>
  <c r="Q29" i="3"/>
  <c r="R29" i="3"/>
  <c r="S29" i="3"/>
  <c r="T29" i="3"/>
  <c r="U29" i="3"/>
  <c r="V29" i="3"/>
  <c r="O30" i="3"/>
  <c r="P30" i="3"/>
  <c r="Q30" i="3"/>
  <c r="R30" i="3"/>
  <c r="S30" i="3"/>
  <c r="T30" i="3"/>
  <c r="U30" i="3"/>
  <c r="V30" i="3"/>
  <c r="O31" i="3"/>
  <c r="P31" i="3"/>
  <c r="Q31" i="3"/>
  <c r="R31" i="3"/>
  <c r="S31" i="3"/>
  <c r="T31" i="3"/>
  <c r="U31" i="3"/>
  <c r="V31" i="3"/>
  <c r="O32" i="3"/>
  <c r="P32" i="3"/>
  <c r="Q32" i="3"/>
  <c r="R32" i="3"/>
  <c r="S32" i="3"/>
  <c r="T32" i="3"/>
  <c r="U32" i="3"/>
  <c r="V32" i="3"/>
  <c r="O33" i="3"/>
  <c r="P33" i="3"/>
  <c r="Q33" i="3"/>
  <c r="R33" i="3"/>
  <c r="S33" i="3"/>
  <c r="T33" i="3"/>
  <c r="U33" i="3"/>
  <c r="V33" i="3"/>
  <c r="O34" i="3"/>
  <c r="P34" i="3"/>
  <c r="Q34" i="3"/>
  <c r="R34" i="3"/>
  <c r="S34" i="3"/>
  <c r="T34" i="3"/>
  <c r="U34" i="3"/>
  <c r="V34" i="3"/>
  <c r="O35" i="3"/>
  <c r="P35" i="3"/>
  <c r="Q35" i="3"/>
  <c r="R35" i="3"/>
  <c r="S35" i="3"/>
  <c r="T35" i="3"/>
  <c r="U35" i="3"/>
  <c r="V35" i="3"/>
  <c r="O36" i="3"/>
  <c r="P36" i="3"/>
  <c r="Q36" i="3"/>
  <c r="R36" i="3"/>
  <c r="S36" i="3"/>
  <c r="T36" i="3"/>
  <c r="U36" i="3"/>
  <c r="V36" i="3"/>
  <c r="O37" i="3"/>
  <c r="P37" i="3"/>
  <c r="Q37" i="3"/>
  <c r="R37" i="3"/>
  <c r="S37" i="3"/>
  <c r="T37" i="3"/>
  <c r="U37" i="3"/>
  <c r="V37" i="3"/>
  <c r="O38" i="3"/>
  <c r="P38" i="3"/>
  <c r="Q38" i="3"/>
  <c r="R38" i="3"/>
  <c r="S38" i="3"/>
  <c r="T38" i="3"/>
  <c r="U38" i="3"/>
  <c r="V38" i="3"/>
  <c r="O39" i="3"/>
  <c r="P39" i="3"/>
  <c r="Q39" i="3"/>
  <c r="R39" i="3"/>
  <c r="S39" i="3"/>
  <c r="T39" i="3"/>
  <c r="U39" i="3"/>
  <c r="V39" i="3"/>
  <c r="O40" i="3"/>
  <c r="P40" i="3"/>
  <c r="Q40" i="3"/>
  <c r="R40" i="3"/>
  <c r="S40" i="3"/>
  <c r="T40" i="3"/>
  <c r="U40" i="3"/>
  <c r="V40" i="3"/>
  <c r="O41" i="3"/>
  <c r="P41" i="3"/>
  <c r="Q41" i="3"/>
  <c r="R41" i="3"/>
  <c r="S41" i="3"/>
  <c r="T41" i="3"/>
  <c r="U41" i="3"/>
  <c r="V41" i="3"/>
  <c r="O42" i="3"/>
  <c r="P42" i="3"/>
  <c r="Q42" i="3"/>
  <c r="R42" i="3"/>
  <c r="S42" i="3"/>
  <c r="T42" i="3"/>
  <c r="U42" i="3"/>
  <c r="V42" i="3"/>
  <c r="O43" i="3"/>
  <c r="P43" i="3"/>
  <c r="Q43" i="3"/>
  <c r="R43" i="3"/>
  <c r="S43" i="3"/>
  <c r="T43" i="3"/>
  <c r="U43" i="3"/>
  <c r="V43" i="3"/>
  <c r="O44" i="3"/>
  <c r="P44" i="3"/>
  <c r="Q44" i="3"/>
  <c r="R44" i="3"/>
  <c r="S44" i="3"/>
  <c r="T44" i="3"/>
  <c r="U44" i="3"/>
  <c r="V44" i="3"/>
  <c r="O45" i="3"/>
  <c r="P45" i="3"/>
  <c r="Q45" i="3"/>
  <c r="R45" i="3"/>
  <c r="S45" i="3"/>
  <c r="T45" i="3"/>
  <c r="U45" i="3"/>
  <c r="V45" i="3"/>
  <c r="O46" i="3"/>
  <c r="P46" i="3"/>
  <c r="Q46" i="3"/>
  <c r="R46" i="3"/>
  <c r="S46" i="3"/>
  <c r="T46" i="3"/>
  <c r="U46" i="3"/>
  <c r="V46" i="3"/>
  <c r="O47" i="3"/>
  <c r="P47" i="3"/>
  <c r="Q47" i="3"/>
  <c r="R47" i="3"/>
  <c r="S47" i="3"/>
  <c r="T47" i="3"/>
  <c r="U47" i="3"/>
  <c r="V47" i="3"/>
  <c r="O48" i="3"/>
  <c r="P48" i="3"/>
  <c r="Q48" i="3"/>
  <c r="R48" i="3"/>
  <c r="S48" i="3"/>
  <c r="T48" i="3"/>
  <c r="U48" i="3"/>
  <c r="V48" i="3"/>
  <c r="O49" i="3"/>
  <c r="P49" i="3"/>
  <c r="Q49" i="3"/>
  <c r="R49" i="3"/>
  <c r="S49" i="3"/>
  <c r="T49" i="3"/>
  <c r="U49" i="3"/>
  <c r="V49" i="3"/>
  <c r="O50" i="3"/>
  <c r="P50" i="3"/>
  <c r="Q50" i="3"/>
  <c r="R50" i="3"/>
  <c r="S50" i="3"/>
  <c r="T50" i="3"/>
  <c r="U50" i="3"/>
  <c r="V50" i="3"/>
  <c r="O51" i="3"/>
  <c r="P51" i="3"/>
  <c r="Q51" i="3"/>
  <c r="R51" i="3"/>
  <c r="S51" i="3"/>
  <c r="T51" i="3"/>
  <c r="U51" i="3"/>
  <c r="V51" i="3"/>
  <c r="O52" i="3"/>
  <c r="P52" i="3"/>
  <c r="Q52" i="3"/>
  <c r="R52" i="3"/>
  <c r="S52" i="3"/>
  <c r="T52" i="3"/>
  <c r="U52" i="3"/>
  <c r="V52" i="3"/>
  <c r="O53" i="3"/>
  <c r="P53" i="3"/>
  <c r="Q53" i="3"/>
  <c r="R53" i="3"/>
  <c r="S53" i="3"/>
  <c r="T53" i="3"/>
  <c r="U53" i="3"/>
  <c r="V53" i="3"/>
  <c r="O54" i="3"/>
  <c r="P54" i="3"/>
  <c r="Q54" i="3"/>
  <c r="R54" i="3"/>
  <c r="S54" i="3"/>
  <c r="T54" i="3"/>
  <c r="U54" i="3"/>
  <c r="V54" i="3"/>
  <c r="O55" i="3"/>
  <c r="P55" i="3"/>
  <c r="Q55" i="3"/>
  <c r="R55" i="3"/>
  <c r="S55" i="3"/>
  <c r="T55" i="3"/>
  <c r="U55" i="3"/>
  <c r="V55" i="3"/>
  <c r="O56" i="3"/>
  <c r="P56" i="3"/>
  <c r="Q56" i="3"/>
  <c r="R56" i="3"/>
  <c r="S56" i="3"/>
  <c r="T56" i="3"/>
  <c r="U56" i="3"/>
  <c r="V56" i="3"/>
  <c r="O57" i="3"/>
  <c r="P57" i="3"/>
  <c r="Q57" i="3"/>
  <c r="R57" i="3"/>
  <c r="S57" i="3"/>
  <c r="T57" i="3"/>
  <c r="U57" i="3"/>
  <c r="V57" i="3"/>
  <c r="O58" i="3"/>
  <c r="P58" i="3"/>
  <c r="Q58" i="3"/>
  <c r="R58" i="3"/>
  <c r="S58" i="3"/>
  <c r="T58" i="3"/>
  <c r="U58" i="3"/>
  <c r="V58" i="3"/>
  <c r="O59" i="3"/>
  <c r="P59" i="3"/>
  <c r="Q59" i="3"/>
  <c r="R59" i="3"/>
  <c r="S59" i="3"/>
  <c r="T59" i="3"/>
  <c r="U59" i="3"/>
  <c r="V59" i="3"/>
  <c r="O60" i="3"/>
  <c r="P60" i="3"/>
  <c r="Q60" i="3"/>
  <c r="R60" i="3"/>
  <c r="S60" i="3"/>
  <c r="T60" i="3"/>
  <c r="U60" i="3"/>
  <c r="V60" i="3"/>
  <c r="O61" i="3"/>
  <c r="P61" i="3"/>
  <c r="Q61" i="3"/>
  <c r="R61" i="3"/>
  <c r="S61" i="3"/>
  <c r="T61" i="3"/>
  <c r="U61" i="3"/>
  <c r="V61" i="3"/>
  <c r="O62" i="3"/>
  <c r="P62" i="3"/>
  <c r="Q62" i="3"/>
  <c r="R62" i="3"/>
  <c r="S62" i="3"/>
  <c r="T62" i="3"/>
  <c r="U62" i="3"/>
  <c r="V62" i="3"/>
  <c r="O63" i="3"/>
  <c r="P63" i="3"/>
  <c r="Q63" i="3"/>
  <c r="R63" i="3"/>
  <c r="S63" i="3"/>
  <c r="T63" i="3"/>
  <c r="U63" i="3"/>
  <c r="V63" i="3"/>
  <c r="O64" i="3"/>
  <c r="P64" i="3"/>
  <c r="Q64" i="3"/>
  <c r="R64" i="3"/>
  <c r="S64" i="3"/>
  <c r="T64" i="3"/>
  <c r="U64" i="3"/>
  <c r="V64" i="3"/>
  <c r="O65" i="3"/>
  <c r="P65" i="3"/>
  <c r="Q65" i="3"/>
  <c r="R65" i="3"/>
  <c r="S65" i="3"/>
  <c r="T65" i="3"/>
  <c r="U65" i="3"/>
  <c r="V65" i="3"/>
  <c r="O66" i="3"/>
  <c r="P66" i="3"/>
  <c r="Q66" i="3"/>
  <c r="R66" i="3"/>
  <c r="S66" i="3"/>
  <c r="T66" i="3"/>
  <c r="U66" i="3"/>
  <c r="V66" i="3"/>
  <c r="O67" i="3"/>
  <c r="P67" i="3"/>
  <c r="Q67" i="3"/>
  <c r="R67" i="3"/>
  <c r="S67" i="3"/>
  <c r="T67" i="3"/>
  <c r="U67" i="3"/>
  <c r="V67" i="3"/>
  <c r="O68" i="3"/>
  <c r="P68" i="3"/>
  <c r="Q68" i="3"/>
  <c r="R68" i="3"/>
  <c r="S68" i="3"/>
  <c r="T68" i="3"/>
  <c r="U68" i="3"/>
  <c r="V68" i="3"/>
  <c r="O69" i="3"/>
  <c r="P69" i="3"/>
  <c r="Q69" i="3"/>
  <c r="R69" i="3"/>
  <c r="S69" i="3"/>
  <c r="T69" i="3"/>
  <c r="U69" i="3"/>
  <c r="V69" i="3"/>
  <c r="O70" i="3"/>
  <c r="P70" i="3"/>
  <c r="Q70" i="3"/>
  <c r="R70" i="3"/>
  <c r="S70" i="3"/>
  <c r="T70" i="3"/>
  <c r="U70" i="3"/>
  <c r="V70" i="3"/>
  <c r="O71" i="3"/>
  <c r="P71" i="3"/>
  <c r="Q71" i="3"/>
  <c r="R71" i="3"/>
  <c r="S71" i="3"/>
  <c r="T71" i="3"/>
  <c r="U71" i="3"/>
  <c r="V71" i="3"/>
  <c r="O72" i="3"/>
  <c r="P72" i="3"/>
  <c r="Q72" i="3"/>
  <c r="R72" i="3"/>
  <c r="S72" i="3"/>
  <c r="T72" i="3"/>
  <c r="U72" i="3"/>
  <c r="V72" i="3"/>
  <c r="O73" i="3"/>
  <c r="P73" i="3"/>
  <c r="Q73" i="3"/>
  <c r="R73" i="3"/>
  <c r="S73" i="3"/>
  <c r="T73" i="3"/>
  <c r="U73" i="3"/>
  <c r="V73" i="3"/>
  <c r="O74" i="3"/>
  <c r="P74" i="3"/>
  <c r="Q74" i="3"/>
  <c r="R74" i="3"/>
  <c r="S74" i="3"/>
  <c r="T74" i="3"/>
  <c r="U74" i="3"/>
  <c r="V74" i="3"/>
  <c r="O75" i="3"/>
  <c r="P75" i="3"/>
  <c r="Q75" i="3"/>
  <c r="R75" i="3"/>
  <c r="S75" i="3"/>
  <c r="T75" i="3"/>
  <c r="U75" i="3"/>
  <c r="V75" i="3"/>
  <c r="O76" i="3"/>
  <c r="P76" i="3"/>
  <c r="Q76" i="3"/>
  <c r="R76" i="3"/>
  <c r="S76" i="3"/>
  <c r="T76" i="3"/>
  <c r="U76" i="3"/>
  <c r="V76" i="3"/>
  <c r="O77" i="3"/>
  <c r="P77" i="3"/>
  <c r="Q77" i="3"/>
  <c r="R77" i="3"/>
  <c r="S77" i="3"/>
  <c r="T77" i="3"/>
  <c r="U77" i="3"/>
  <c r="V77" i="3"/>
  <c r="O78" i="3"/>
  <c r="P78" i="3"/>
  <c r="Q78" i="3"/>
  <c r="R78" i="3"/>
  <c r="S78" i="3"/>
  <c r="T78" i="3"/>
  <c r="U78" i="3"/>
  <c r="V78" i="3"/>
  <c r="Q79" i="3"/>
  <c r="S79" i="3"/>
  <c r="T79" i="3"/>
  <c r="U79" i="3"/>
  <c r="V79" i="3"/>
  <c r="Q80" i="3"/>
  <c r="S80" i="3"/>
  <c r="T80" i="3"/>
  <c r="U80" i="3"/>
  <c r="V80" i="3"/>
  <c r="Q81" i="3"/>
  <c r="S81" i="3"/>
  <c r="T81" i="3"/>
  <c r="U81" i="3"/>
  <c r="V81" i="3"/>
  <c r="O82" i="3"/>
  <c r="P82" i="3"/>
  <c r="Q82" i="3"/>
  <c r="R82" i="3"/>
  <c r="S82" i="3"/>
  <c r="T82" i="3"/>
  <c r="U82" i="3"/>
  <c r="V82" i="3"/>
  <c r="O83" i="3"/>
  <c r="P83" i="3"/>
  <c r="Q83" i="3"/>
  <c r="R83" i="3"/>
  <c r="S83" i="3"/>
  <c r="T83" i="3"/>
  <c r="U83" i="3"/>
  <c r="V83" i="3"/>
  <c r="O84" i="3"/>
  <c r="P84" i="3"/>
  <c r="Q84" i="3"/>
  <c r="R84" i="3"/>
  <c r="S84" i="3"/>
  <c r="T84" i="3"/>
  <c r="U84" i="3"/>
  <c r="V84" i="3"/>
  <c r="O85" i="3"/>
  <c r="P85" i="3"/>
  <c r="Q85" i="3"/>
  <c r="R85" i="3"/>
  <c r="S85" i="3"/>
  <c r="T85" i="3"/>
  <c r="U85" i="3"/>
  <c r="V85" i="3"/>
  <c r="O86" i="3"/>
  <c r="P86" i="3"/>
  <c r="Q86" i="3"/>
  <c r="R86" i="3"/>
  <c r="S86" i="3"/>
  <c r="T86" i="3"/>
  <c r="U86" i="3"/>
  <c r="V86" i="3"/>
  <c r="O87" i="3"/>
  <c r="P87" i="3"/>
  <c r="Q87" i="3"/>
  <c r="R87" i="3"/>
  <c r="S87" i="3"/>
  <c r="T87" i="3"/>
  <c r="U87" i="3"/>
  <c r="V87" i="3"/>
  <c r="O88" i="3"/>
  <c r="P88" i="3"/>
  <c r="Q88" i="3"/>
  <c r="R88" i="3"/>
  <c r="S88" i="3"/>
  <c r="T88" i="3"/>
  <c r="U88" i="3"/>
  <c r="V88" i="3"/>
  <c r="O89" i="3"/>
  <c r="P89" i="3"/>
  <c r="Q89" i="3"/>
  <c r="R89" i="3"/>
  <c r="S89" i="3"/>
  <c r="T89" i="3"/>
  <c r="U89" i="3"/>
  <c r="V89" i="3"/>
  <c r="O90" i="3"/>
  <c r="P90" i="3"/>
  <c r="Q90" i="3"/>
  <c r="R90" i="3"/>
  <c r="S90" i="3"/>
  <c r="T90" i="3"/>
  <c r="U90" i="3"/>
  <c r="V90" i="3"/>
  <c r="O91" i="3"/>
  <c r="P91" i="3"/>
  <c r="Q91" i="3"/>
  <c r="R91" i="3"/>
  <c r="S91" i="3"/>
  <c r="T91" i="3"/>
  <c r="U91" i="3"/>
  <c r="V91" i="3"/>
  <c r="O92" i="3"/>
  <c r="P92" i="3"/>
  <c r="Q92" i="3"/>
  <c r="R92" i="3"/>
  <c r="S92" i="3"/>
  <c r="T92" i="3"/>
  <c r="U92" i="3"/>
  <c r="V92" i="3"/>
  <c r="O93" i="3"/>
  <c r="P93" i="3"/>
  <c r="Q93" i="3"/>
  <c r="R93" i="3"/>
  <c r="S93" i="3"/>
  <c r="T93" i="3"/>
  <c r="U93" i="3"/>
  <c r="V93" i="3"/>
  <c r="O94" i="3"/>
  <c r="P94" i="3"/>
  <c r="Q94" i="3"/>
  <c r="R94" i="3"/>
  <c r="S94" i="3"/>
  <c r="T94" i="3"/>
  <c r="U94" i="3"/>
  <c r="V94" i="3"/>
  <c r="O95" i="3"/>
  <c r="P95" i="3"/>
  <c r="Q95" i="3"/>
  <c r="R95" i="3"/>
  <c r="S95" i="3"/>
  <c r="T95" i="3"/>
  <c r="U95" i="3"/>
  <c r="V95" i="3"/>
  <c r="O96" i="3"/>
  <c r="P96" i="3"/>
  <c r="Q96" i="3"/>
  <c r="R96" i="3"/>
  <c r="S96" i="3"/>
  <c r="T96" i="3"/>
  <c r="U96" i="3"/>
  <c r="V96" i="3"/>
  <c r="O97" i="3"/>
  <c r="P97" i="3"/>
  <c r="Q97" i="3"/>
  <c r="R97" i="3"/>
  <c r="S97" i="3"/>
  <c r="T97" i="3"/>
  <c r="U97" i="3"/>
  <c r="V97" i="3"/>
  <c r="O98" i="3"/>
  <c r="P98" i="3"/>
  <c r="Q98" i="3"/>
  <c r="R98" i="3"/>
  <c r="S98" i="3"/>
  <c r="T98" i="3"/>
  <c r="U98" i="3"/>
  <c r="O99" i="3"/>
  <c r="P99" i="3"/>
  <c r="Q99" i="3"/>
  <c r="R99" i="3"/>
  <c r="S99" i="3"/>
  <c r="T99" i="3"/>
  <c r="U99" i="3"/>
  <c r="E100" i="3"/>
  <c r="H100" i="3"/>
  <c r="K100" i="3"/>
  <c r="M100" i="3"/>
  <c r="N100" i="3"/>
  <c r="Q100" i="3"/>
  <c r="R100" i="3"/>
  <c r="S100" i="3"/>
  <c r="T100" i="3"/>
  <c r="U100" i="3"/>
  <c r="N101" i="3"/>
  <c r="R101" i="3"/>
  <c r="R102" i="3"/>
  <c r="O105" i="3"/>
  <c r="P105" i="3"/>
  <c r="R105" i="3"/>
  <c r="O106" i="3"/>
  <c r="P106" i="3"/>
  <c r="R106" i="3"/>
  <c r="O107" i="3"/>
  <c r="P107" i="3"/>
  <c r="R107" i="3"/>
  <c r="C3" i="4"/>
  <c r="E8" i="4"/>
  <c r="H8" i="4"/>
  <c r="K8" i="4"/>
  <c r="N8" i="4"/>
  <c r="S8" i="4"/>
  <c r="O9" i="4"/>
  <c r="O10" i="4"/>
  <c r="P10" i="4"/>
  <c r="Q10" i="4"/>
  <c r="R10" i="4"/>
  <c r="S10" i="4"/>
  <c r="T10" i="4"/>
  <c r="U10" i="4"/>
  <c r="V10" i="4"/>
  <c r="O11" i="4"/>
  <c r="P11" i="4"/>
  <c r="Q11" i="4"/>
  <c r="R11" i="4"/>
  <c r="S11" i="4"/>
  <c r="T11" i="4"/>
  <c r="U11" i="4"/>
  <c r="V11" i="4"/>
  <c r="O12" i="4"/>
  <c r="P12" i="4"/>
  <c r="Q12" i="4"/>
  <c r="R12" i="4"/>
  <c r="S12" i="4"/>
  <c r="T12" i="4"/>
  <c r="U12" i="4"/>
  <c r="V12" i="4"/>
  <c r="O13" i="4"/>
  <c r="P13" i="4"/>
  <c r="Q13" i="4"/>
  <c r="R13" i="4"/>
  <c r="S13" i="4"/>
  <c r="T13" i="4"/>
  <c r="U13" i="4"/>
  <c r="V13" i="4"/>
  <c r="O14" i="4"/>
  <c r="P14" i="4"/>
  <c r="Q14" i="4"/>
  <c r="R14" i="4"/>
  <c r="S14" i="4"/>
  <c r="T14" i="4"/>
  <c r="U14" i="4"/>
  <c r="V14" i="4"/>
  <c r="O15" i="4"/>
  <c r="P15" i="4"/>
  <c r="Q15" i="4"/>
  <c r="R15" i="4"/>
  <c r="S15" i="4"/>
  <c r="T15" i="4"/>
  <c r="U15" i="4"/>
  <c r="V15" i="4"/>
  <c r="O16" i="4"/>
  <c r="P16" i="4"/>
  <c r="Q16" i="4"/>
  <c r="R16" i="4"/>
  <c r="S16" i="4"/>
  <c r="T16" i="4"/>
  <c r="U16" i="4"/>
  <c r="V16" i="4"/>
  <c r="O17" i="4"/>
  <c r="P17" i="4"/>
  <c r="Q17" i="4"/>
  <c r="R17" i="4"/>
  <c r="S17" i="4"/>
  <c r="T17" i="4"/>
  <c r="U17" i="4"/>
  <c r="V17" i="4"/>
  <c r="O18" i="4"/>
  <c r="P18" i="4"/>
  <c r="Q18" i="4"/>
  <c r="R18" i="4"/>
  <c r="S18" i="4"/>
  <c r="T18" i="4"/>
  <c r="U18" i="4"/>
  <c r="V18" i="4"/>
  <c r="O19" i="4"/>
  <c r="P19" i="4"/>
  <c r="Q19" i="4"/>
  <c r="R19" i="4"/>
  <c r="S19" i="4"/>
  <c r="T19" i="4"/>
  <c r="U19" i="4"/>
  <c r="V19" i="4"/>
  <c r="O20" i="4"/>
  <c r="P20" i="4"/>
  <c r="Q20" i="4"/>
  <c r="R20" i="4"/>
  <c r="S20" i="4"/>
  <c r="T20" i="4"/>
  <c r="U20" i="4"/>
  <c r="V20" i="4"/>
  <c r="O21" i="4"/>
  <c r="P21" i="4"/>
  <c r="Q21" i="4"/>
  <c r="R21" i="4"/>
  <c r="S21" i="4"/>
  <c r="T21" i="4"/>
  <c r="U21" i="4"/>
  <c r="V21" i="4"/>
  <c r="O22" i="4"/>
  <c r="P22" i="4"/>
  <c r="Q22" i="4"/>
  <c r="R22" i="4"/>
  <c r="S22" i="4"/>
  <c r="T22" i="4"/>
  <c r="U22" i="4"/>
  <c r="V22" i="4"/>
  <c r="O23" i="4"/>
  <c r="P23" i="4"/>
  <c r="Q23" i="4"/>
  <c r="R23" i="4"/>
  <c r="S23" i="4"/>
  <c r="T23" i="4"/>
  <c r="U23" i="4"/>
  <c r="V23" i="4"/>
  <c r="O24" i="4"/>
  <c r="P24" i="4"/>
  <c r="Q24" i="4"/>
  <c r="R24" i="4"/>
  <c r="S24" i="4"/>
  <c r="T24" i="4"/>
  <c r="U24" i="4"/>
  <c r="V24" i="4"/>
  <c r="O25" i="4"/>
  <c r="P25" i="4"/>
  <c r="Q25" i="4"/>
  <c r="R25" i="4"/>
  <c r="S25" i="4"/>
  <c r="T25" i="4"/>
  <c r="U25" i="4"/>
  <c r="V25" i="4"/>
  <c r="O26" i="4"/>
  <c r="P26" i="4"/>
  <c r="Q26" i="4"/>
  <c r="R26" i="4"/>
  <c r="S26" i="4"/>
  <c r="T26" i="4"/>
  <c r="U26" i="4"/>
  <c r="V26" i="4"/>
  <c r="O27" i="4"/>
  <c r="P27" i="4"/>
  <c r="R27" i="4"/>
  <c r="S27" i="4"/>
  <c r="T27" i="4"/>
  <c r="U27" i="4"/>
  <c r="V27" i="4"/>
  <c r="O28" i="4"/>
  <c r="P28" i="4"/>
  <c r="R28" i="4"/>
  <c r="S28" i="4"/>
  <c r="T28" i="4"/>
  <c r="U28" i="4"/>
  <c r="V28" i="4"/>
  <c r="O29" i="4"/>
  <c r="P29" i="4"/>
  <c r="R29" i="4"/>
  <c r="S29" i="4"/>
  <c r="T29" i="4"/>
  <c r="U29" i="4"/>
  <c r="V29" i="4"/>
  <c r="O30" i="4"/>
  <c r="P30" i="4"/>
  <c r="R30" i="4"/>
  <c r="S30" i="4"/>
  <c r="T30" i="4"/>
  <c r="U30" i="4"/>
  <c r="V30" i="4"/>
  <c r="O31" i="4"/>
  <c r="P31" i="4"/>
  <c r="Q31" i="4"/>
  <c r="R31" i="4"/>
  <c r="S31" i="4"/>
  <c r="T31" i="4"/>
  <c r="U31" i="4"/>
  <c r="V31" i="4"/>
  <c r="O32" i="4"/>
  <c r="P32" i="4"/>
  <c r="Q32" i="4"/>
  <c r="R32" i="4"/>
  <c r="S32" i="4"/>
  <c r="T32" i="4"/>
  <c r="U32" i="4"/>
  <c r="V32" i="4"/>
  <c r="O33" i="4"/>
  <c r="P33" i="4"/>
  <c r="R33" i="4"/>
  <c r="S33" i="4"/>
  <c r="T33" i="4"/>
  <c r="U33" i="4"/>
  <c r="V33" i="4"/>
  <c r="O34" i="4"/>
  <c r="P34" i="4"/>
  <c r="Q34" i="4"/>
  <c r="R34" i="4"/>
  <c r="S34" i="4"/>
  <c r="T34" i="4"/>
  <c r="U34" i="4"/>
  <c r="V34" i="4"/>
  <c r="O35" i="4"/>
  <c r="P35" i="4"/>
  <c r="Q35" i="4"/>
  <c r="R35" i="4"/>
  <c r="S35" i="4"/>
  <c r="T35" i="4"/>
  <c r="U35" i="4"/>
  <c r="V35" i="4"/>
  <c r="O36" i="4"/>
  <c r="P36" i="4"/>
  <c r="Q36" i="4"/>
  <c r="R36" i="4"/>
  <c r="S36" i="4"/>
  <c r="T36" i="4"/>
  <c r="U36" i="4"/>
  <c r="V36" i="4"/>
  <c r="O37" i="4"/>
  <c r="P37" i="4"/>
  <c r="Q37" i="4"/>
  <c r="R37" i="4"/>
  <c r="S37" i="4"/>
  <c r="T37" i="4"/>
  <c r="U37" i="4"/>
  <c r="V37" i="4"/>
  <c r="O38" i="4"/>
  <c r="P38" i="4"/>
  <c r="R38" i="4"/>
  <c r="S38" i="4"/>
  <c r="T38" i="4"/>
  <c r="U38" i="4"/>
  <c r="V38" i="4"/>
  <c r="O39" i="4"/>
  <c r="P39" i="4"/>
  <c r="Q39" i="4"/>
  <c r="R39" i="4"/>
  <c r="S39" i="4"/>
  <c r="T39" i="4"/>
  <c r="U39" i="4"/>
  <c r="V39" i="4"/>
  <c r="O40" i="4"/>
  <c r="P40" i="4"/>
  <c r="Q40" i="4"/>
  <c r="R40" i="4"/>
  <c r="S40" i="4"/>
  <c r="T40" i="4"/>
  <c r="U40" i="4"/>
  <c r="V40" i="4"/>
  <c r="O41" i="4"/>
  <c r="P41" i="4"/>
  <c r="Q41" i="4"/>
  <c r="R41" i="4"/>
  <c r="S41" i="4"/>
  <c r="T41" i="4"/>
  <c r="U41" i="4"/>
  <c r="V41" i="4"/>
  <c r="O42" i="4"/>
  <c r="P42" i="4"/>
  <c r="Q42" i="4"/>
  <c r="R42" i="4"/>
  <c r="S42" i="4"/>
  <c r="T42" i="4"/>
  <c r="U42" i="4"/>
  <c r="V42" i="4"/>
  <c r="O43" i="4"/>
  <c r="P43" i="4"/>
  <c r="R43" i="4"/>
  <c r="S43" i="4"/>
  <c r="T43" i="4"/>
  <c r="U43" i="4"/>
  <c r="V43" i="4"/>
  <c r="O44" i="4"/>
  <c r="P44" i="4"/>
  <c r="R44" i="4"/>
  <c r="S44" i="4"/>
  <c r="T44" i="4"/>
  <c r="U44" i="4"/>
  <c r="V44" i="4"/>
  <c r="O45" i="4"/>
  <c r="P45" i="4"/>
  <c r="Q45" i="4"/>
  <c r="R45" i="4"/>
  <c r="S45" i="4"/>
  <c r="T45" i="4"/>
  <c r="U45" i="4"/>
  <c r="V45" i="4"/>
  <c r="O46" i="4"/>
  <c r="P46" i="4"/>
  <c r="Q46" i="4"/>
  <c r="R46" i="4"/>
  <c r="S46" i="4"/>
  <c r="T46" i="4"/>
  <c r="U46" i="4"/>
  <c r="V46" i="4"/>
  <c r="O47" i="4"/>
  <c r="P47" i="4"/>
  <c r="Q47" i="4"/>
  <c r="R47" i="4"/>
  <c r="S47" i="4"/>
  <c r="T47" i="4"/>
  <c r="U47" i="4"/>
  <c r="V47" i="4"/>
  <c r="O48" i="4"/>
  <c r="P48" i="4"/>
  <c r="Q48" i="4"/>
  <c r="R48" i="4"/>
  <c r="S48" i="4"/>
  <c r="T48" i="4"/>
  <c r="U48" i="4"/>
  <c r="V48" i="4"/>
  <c r="O49" i="4"/>
  <c r="P49" i="4"/>
  <c r="Q49" i="4"/>
  <c r="R49" i="4"/>
  <c r="S49" i="4"/>
  <c r="T49" i="4"/>
  <c r="U49" i="4"/>
  <c r="V49" i="4"/>
  <c r="O50" i="4"/>
  <c r="P50" i="4"/>
  <c r="R50" i="4"/>
  <c r="S50" i="4"/>
  <c r="T50" i="4"/>
  <c r="U50" i="4"/>
  <c r="V50" i="4"/>
  <c r="O51" i="4"/>
  <c r="P51" i="4"/>
  <c r="Q51" i="4"/>
  <c r="R51" i="4"/>
  <c r="S51" i="4"/>
  <c r="T51" i="4"/>
  <c r="U51" i="4"/>
  <c r="V51" i="4"/>
  <c r="O52" i="4"/>
  <c r="P52" i="4"/>
  <c r="Q52" i="4"/>
  <c r="R52" i="4"/>
  <c r="S52" i="4"/>
  <c r="T52" i="4"/>
  <c r="U52" i="4"/>
  <c r="V52" i="4"/>
  <c r="O53" i="4"/>
  <c r="P53" i="4"/>
  <c r="Q53" i="4"/>
  <c r="R53" i="4"/>
  <c r="S53" i="4"/>
  <c r="T53" i="4"/>
  <c r="U53" i="4"/>
  <c r="V53" i="4"/>
  <c r="O54" i="4"/>
  <c r="P54" i="4"/>
  <c r="Q54" i="4"/>
  <c r="R54" i="4"/>
  <c r="S54" i="4"/>
  <c r="T54" i="4"/>
  <c r="U54" i="4"/>
  <c r="V54" i="4"/>
  <c r="O55" i="4"/>
  <c r="P55" i="4"/>
  <c r="Q55" i="4"/>
  <c r="R55" i="4"/>
  <c r="S55" i="4"/>
  <c r="T55" i="4"/>
  <c r="U55" i="4"/>
  <c r="V55" i="4"/>
  <c r="O56" i="4"/>
  <c r="P56" i="4"/>
  <c r="Q56" i="4"/>
  <c r="R56" i="4"/>
  <c r="S56" i="4"/>
  <c r="T56" i="4"/>
  <c r="U56" i="4"/>
  <c r="V56" i="4"/>
  <c r="O57" i="4"/>
  <c r="P57" i="4"/>
  <c r="Q57" i="4"/>
  <c r="R57" i="4"/>
  <c r="S57" i="4"/>
  <c r="T57" i="4"/>
  <c r="U57" i="4"/>
  <c r="V57" i="4"/>
  <c r="O58" i="4"/>
  <c r="P58" i="4"/>
  <c r="Q58" i="4"/>
  <c r="R58" i="4"/>
  <c r="S58" i="4"/>
  <c r="T58" i="4"/>
  <c r="U58" i="4"/>
  <c r="V58" i="4"/>
  <c r="O59" i="4"/>
  <c r="P59" i="4"/>
  <c r="Q59" i="4"/>
  <c r="R59" i="4"/>
  <c r="S59" i="4"/>
  <c r="T59" i="4"/>
  <c r="U59" i="4"/>
  <c r="V59" i="4"/>
  <c r="O60" i="4"/>
  <c r="P60" i="4"/>
  <c r="Q60" i="4"/>
  <c r="R60" i="4"/>
  <c r="S60" i="4"/>
  <c r="T60" i="4"/>
  <c r="U60" i="4"/>
  <c r="V60" i="4"/>
  <c r="O61" i="4"/>
  <c r="P61" i="4"/>
  <c r="Q61" i="4"/>
  <c r="R61" i="4"/>
  <c r="S61" i="4"/>
  <c r="T61" i="4"/>
  <c r="U61" i="4"/>
  <c r="V61" i="4"/>
  <c r="O62" i="4"/>
  <c r="P62" i="4"/>
  <c r="Q62" i="4"/>
  <c r="R62" i="4"/>
  <c r="S62" i="4"/>
  <c r="T62" i="4"/>
  <c r="U62" i="4"/>
  <c r="V62" i="4"/>
  <c r="O63" i="4"/>
  <c r="P63" i="4"/>
  <c r="Q63" i="4"/>
  <c r="R63" i="4"/>
  <c r="S63" i="4"/>
  <c r="T63" i="4"/>
  <c r="U63" i="4"/>
  <c r="V63" i="4"/>
  <c r="O64" i="4"/>
  <c r="P64" i="4"/>
  <c r="Q64" i="4"/>
  <c r="R64" i="4"/>
  <c r="S64" i="4"/>
  <c r="T64" i="4"/>
  <c r="U64" i="4"/>
  <c r="V64" i="4"/>
  <c r="O65" i="4"/>
  <c r="P65" i="4"/>
  <c r="Q65" i="4"/>
  <c r="R65" i="4"/>
  <c r="S65" i="4"/>
  <c r="T65" i="4"/>
  <c r="U65" i="4"/>
  <c r="V65" i="4"/>
  <c r="O66" i="4"/>
  <c r="P66" i="4"/>
  <c r="Q66" i="4"/>
  <c r="R66" i="4"/>
  <c r="S66" i="4"/>
  <c r="T66" i="4"/>
  <c r="U66" i="4"/>
  <c r="V66" i="4"/>
  <c r="O67" i="4"/>
  <c r="P67" i="4"/>
  <c r="Q67" i="4"/>
  <c r="R67" i="4"/>
  <c r="S67" i="4"/>
  <c r="T67" i="4"/>
  <c r="U67" i="4"/>
  <c r="V67" i="4"/>
  <c r="O68" i="4"/>
  <c r="P68" i="4"/>
  <c r="Q68" i="4"/>
  <c r="R68" i="4"/>
  <c r="S68" i="4"/>
  <c r="T68" i="4"/>
  <c r="U68" i="4"/>
  <c r="V68" i="4"/>
  <c r="O69" i="4"/>
  <c r="P69" i="4"/>
  <c r="Q69" i="4"/>
  <c r="R69" i="4"/>
  <c r="S69" i="4"/>
  <c r="T69" i="4"/>
  <c r="U69" i="4"/>
  <c r="V69" i="4"/>
  <c r="O70" i="4"/>
  <c r="P70" i="4"/>
  <c r="Q70" i="4"/>
  <c r="R70" i="4"/>
  <c r="S70" i="4"/>
  <c r="T70" i="4"/>
  <c r="U70" i="4"/>
  <c r="V70" i="4"/>
  <c r="O71" i="4"/>
  <c r="P71" i="4"/>
  <c r="Q71" i="4"/>
  <c r="R71" i="4"/>
  <c r="S71" i="4"/>
  <c r="T71" i="4"/>
  <c r="U71" i="4"/>
  <c r="V71" i="4"/>
  <c r="O72" i="4"/>
  <c r="P72" i="4"/>
  <c r="Q72" i="4"/>
  <c r="R72" i="4"/>
  <c r="S72" i="4"/>
  <c r="T72" i="4"/>
  <c r="U72" i="4"/>
  <c r="V72" i="4"/>
  <c r="O73" i="4"/>
  <c r="P73" i="4"/>
  <c r="Q73" i="4"/>
  <c r="R73" i="4"/>
  <c r="S73" i="4"/>
  <c r="T73" i="4"/>
  <c r="U73" i="4"/>
  <c r="V73" i="4"/>
  <c r="O74" i="4"/>
  <c r="P74" i="4"/>
  <c r="Q74" i="4"/>
  <c r="R74" i="4"/>
  <c r="S74" i="4"/>
  <c r="T74" i="4"/>
  <c r="U74" i="4"/>
  <c r="V74" i="4"/>
  <c r="O75" i="4"/>
  <c r="P75" i="4"/>
  <c r="Q75" i="4"/>
  <c r="R75" i="4"/>
  <c r="S75" i="4"/>
  <c r="T75" i="4"/>
  <c r="U75" i="4"/>
  <c r="V75" i="4"/>
  <c r="O76" i="4"/>
  <c r="P76" i="4"/>
  <c r="Q76" i="4"/>
  <c r="R76" i="4"/>
  <c r="S76" i="4"/>
  <c r="T76" i="4"/>
  <c r="U76" i="4"/>
  <c r="V76" i="4"/>
  <c r="O77" i="4"/>
  <c r="P77" i="4"/>
  <c r="Q77" i="4"/>
  <c r="R77" i="4"/>
  <c r="S77" i="4"/>
  <c r="T77" i="4"/>
  <c r="U77" i="4"/>
  <c r="V77" i="4"/>
  <c r="O78" i="4"/>
  <c r="P78" i="4"/>
  <c r="Q78" i="4"/>
  <c r="R78" i="4"/>
  <c r="S78" i="4"/>
  <c r="T78" i="4"/>
  <c r="U78" i="4"/>
  <c r="V78" i="4"/>
  <c r="O79" i="4"/>
  <c r="P79" i="4"/>
  <c r="Q79" i="4"/>
  <c r="R79" i="4"/>
  <c r="S79" i="4"/>
  <c r="T79" i="4"/>
  <c r="U79" i="4"/>
  <c r="V79" i="4"/>
  <c r="O80" i="4"/>
  <c r="P80" i="4"/>
  <c r="Q80" i="4"/>
  <c r="R80" i="4"/>
  <c r="S80" i="4"/>
  <c r="T80" i="4"/>
  <c r="U80" i="4"/>
  <c r="V80" i="4"/>
  <c r="O81" i="4"/>
  <c r="P81" i="4"/>
  <c r="Q81" i="4"/>
  <c r="R81" i="4"/>
  <c r="S81" i="4"/>
  <c r="T81" i="4"/>
  <c r="U81" i="4"/>
  <c r="V81" i="4"/>
  <c r="O82" i="4"/>
  <c r="P82" i="4"/>
  <c r="Q82" i="4"/>
  <c r="R82" i="4"/>
  <c r="S82" i="4"/>
  <c r="T82" i="4"/>
  <c r="U82" i="4"/>
  <c r="V82" i="4"/>
  <c r="O83" i="4"/>
  <c r="P83" i="4"/>
  <c r="Q83" i="4"/>
  <c r="R83" i="4"/>
  <c r="S83" i="4"/>
  <c r="T83" i="4"/>
  <c r="U83" i="4"/>
  <c r="V83" i="4"/>
  <c r="O84" i="4"/>
  <c r="P84" i="4"/>
  <c r="Q84" i="4"/>
  <c r="R84" i="4"/>
  <c r="S84" i="4"/>
  <c r="T84" i="4"/>
  <c r="U84" i="4"/>
  <c r="V84" i="4"/>
  <c r="O85" i="4"/>
  <c r="P85" i="4"/>
  <c r="Q85" i="4"/>
  <c r="R85" i="4"/>
  <c r="S85" i="4"/>
  <c r="T85" i="4"/>
  <c r="U85" i="4"/>
  <c r="V85" i="4"/>
  <c r="O86" i="4"/>
  <c r="P86" i="4"/>
  <c r="Q86" i="4"/>
  <c r="R86" i="4"/>
  <c r="S86" i="4"/>
  <c r="T86" i="4"/>
  <c r="U86" i="4"/>
  <c r="V86" i="4"/>
  <c r="O87" i="4"/>
  <c r="P87" i="4"/>
  <c r="Q87" i="4"/>
  <c r="R87" i="4"/>
  <c r="S87" i="4"/>
  <c r="T87" i="4"/>
  <c r="U87" i="4"/>
  <c r="V87" i="4"/>
  <c r="O88" i="4"/>
  <c r="P88" i="4"/>
  <c r="Q88" i="4"/>
  <c r="R88" i="4"/>
  <c r="S88" i="4"/>
  <c r="T88" i="4"/>
  <c r="U88" i="4"/>
  <c r="V88" i="4"/>
  <c r="O89" i="4"/>
  <c r="P89" i="4"/>
  <c r="Q89" i="4"/>
  <c r="R89" i="4"/>
  <c r="S89" i="4"/>
  <c r="T89" i="4"/>
  <c r="U89" i="4"/>
  <c r="V89" i="4"/>
  <c r="O90" i="4"/>
  <c r="P90" i="4"/>
  <c r="Q90" i="4"/>
  <c r="R90" i="4"/>
  <c r="S90" i="4"/>
  <c r="T90" i="4"/>
  <c r="U90" i="4"/>
  <c r="V90" i="4"/>
  <c r="O91" i="4"/>
  <c r="P91" i="4"/>
  <c r="Q91" i="4"/>
  <c r="R91" i="4"/>
  <c r="S91" i="4"/>
  <c r="T91" i="4"/>
  <c r="U91" i="4"/>
  <c r="V91" i="4"/>
  <c r="O92" i="4"/>
  <c r="P92" i="4"/>
  <c r="Q92" i="4"/>
  <c r="R92" i="4"/>
  <c r="S92" i="4"/>
  <c r="T92" i="4"/>
  <c r="U92" i="4"/>
  <c r="V92" i="4"/>
  <c r="O93" i="4"/>
  <c r="P93" i="4"/>
  <c r="Q93" i="4"/>
  <c r="R93" i="4"/>
  <c r="S93" i="4"/>
  <c r="T93" i="4"/>
  <c r="U93" i="4"/>
  <c r="V93" i="4"/>
  <c r="O94" i="4"/>
  <c r="P94" i="4"/>
  <c r="Q94" i="4"/>
  <c r="R94" i="4"/>
  <c r="S94" i="4"/>
  <c r="T94" i="4"/>
  <c r="U94" i="4"/>
  <c r="V94" i="4"/>
  <c r="O95" i="4"/>
  <c r="P95" i="4"/>
  <c r="Q95" i="4"/>
  <c r="R95" i="4"/>
  <c r="S95" i="4"/>
  <c r="T95" i="4"/>
  <c r="U95" i="4"/>
  <c r="V95" i="4"/>
  <c r="O96" i="4"/>
  <c r="P96" i="4"/>
  <c r="Q96" i="4"/>
  <c r="R96" i="4"/>
  <c r="S96" i="4"/>
  <c r="T96" i="4"/>
  <c r="U96" i="4"/>
  <c r="V96" i="4"/>
  <c r="E97" i="4"/>
  <c r="H97" i="4"/>
  <c r="K97" i="4"/>
  <c r="M97" i="4"/>
  <c r="N97" i="4"/>
  <c r="Q97" i="4"/>
  <c r="R97" i="4"/>
  <c r="S97" i="4"/>
  <c r="T97" i="4"/>
  <c r="U97" i="4"/>
  <c r="V97" i="4"/>
  <c r="N98" i="4"/>
  <c r="R98" i="4"/>
  <c r="S98" i="4"/>
  <c r="R99" i="4"/>
  <c r="S99" i="4"/>
  <c r="C3" i="5"/>
  <c r="E8" i="5"/>
  <c r="H8" i="5"/>
  <c r="K8" i="5"/>
  <c r="N8" i="5"/>
  <c r="S8" i="5"/>
  <c r="O9" i="5"/>
  <c r="O10" i="5"/>
  <c r="P10" i="5"/>
  <c r="Q10" i="5"/>
  <c r="R10" i="5"/>
  <c r="S10" i="5"/>
  <c r="T10" i="5"/>
  <c r="U10" i="5"/>
  <c r="V10" i="5"/>
  <c r="O11" i="5"/>
  <c r="P11" i="5"/>
  <c r="Q11" i="5"/>
  <c r="R11" i="5"/>
  <c r="S11" i="5"/>
  <c r="T11" i="5"/>
  <c r="U11" i="5"/>
  <c r="V11" i="5"/>
  <c r="O12" i="5"/>
  <c r="P12" i="5"/>
  <c r="Q12" i="5"/>
  <c r="R12" i="5"/>
  <c r="S12" i="5"/>
  <c r="T12" i="5"/>
  <c r="U12" i="5"/>
  <c r="V12" i="5"/>
  <c r="O13" i="5"/>
  <c r="P13" i="5"/>
  <c r="Q13" i="5"/>
  <c r="R13" i="5"/>
  <c r="S13" i="5"/>
  <c r="T13" i="5"/>
  <c r="U13" i="5"/>
  <c r="V13" i="5"/>
  <c r="O14" i="5"/>
  <c r="P14" i="5"/>
  <c r="Q14" i="5"/>
  <c r="R14" i="5"/>
  <c r="S14" i="5"/>
  <c r="T14" i="5"/>
  <c r="U14" i="5"/>
  <c r="V14" i="5"/>
  <c r="O15" i="5"/>
  <c r="P15" i="5"/>
  <c r="Q15" i="5"/>
  <c r="R15" i="5"/>
  <c r="S15" i="5"/>
  <c r="T15" i="5"/>
  <c r="U15" i="5"/>
  <c r="V15" i="5"/>
  <c r="O16" i="5"/>
  <c r="P16" i="5"/>
  <c r="Q16" i="5"/>
  <c r="R16" i="5"/>
  <c r="S16" i="5"/>
  <c r="T16" i="5"/>
  <c r="U16" i="5"/>
  <c r="V16" i="5"/>
  <c r="O17" i="5"/>
  <c r="P17" i="5"/>
  <c r="Q17" i="5"/>
  <c r="R17" i="5"/>
  <c r="S17" i="5"/>
  <c r="T17" i="5"/>
  <c r="U17" i="5"/>
  <c r="V17" i="5"/>
  <c r="O18" i="5"/>
  <c r="P18" i="5"/>
  <c r="Q18" i="5"/>
  <c r="R18" i="5"/>
  <c r="S18" i="5"/>
  <c r="T18" i="5"/>
  <c r="U18" i="5"/>
  <c r="V18" i="5"/>
  <c r="O19" i="5"/>
  <c r="P19" i="5"/>
  <c r="Q19" i="5"/>
  <c r="R19" i="5"/>
  <c r="S19" i="5"/>
  <c r="T19" i="5"/>
  <c r="U19" i="5"/>
  <c r="V19" i="5"/>
  <c r="O20" i="5"/>
  <c r="P20" i="5"/>
  <c r="Q20" i="5"/>
  <c r="R20" i="5"/>
  <c r="S20" i="5"/>
  <c r="T20" i="5"/>
  <c r="U20" i="5"/>
  <c r="V20" i="5"/>
  <c r="O21" i="5"/>
  <c r="P21" i="5"/>
  <c r="Q21" i="5"/>
  <c r="R21" i="5"/>
  <c r="S21" i="5"/>
  <c r="T21" i="5"/>
  <c r="U21" i="5"/>
  <c r="V21" i="5"/>
  <c r="O22" i="5"/>
  <c r="P22" i="5"/>
  <c r="Q22" i="5"/>
  <c r="R22" i="5"/>
  <c r="S22" i="5"/>
  <c r="T22" i="5"/>
  <c r="U22" i="5"/>
  <c r="V22" i="5"/>
  <c r="O23" i="5"/>
  <c r="P23" i="5"/>
  <c r="Q23" i="5"/>
  <c r="R23" i="5"/>
  <c r="S23" i="5"/>
  <c r="T23" i="5"/>
  <c r="U23" i="5"/>
  <c r="V23" i="5"/>
  <c r="O24" i="5"/>
  <c r="P24" i="5"/>
  <c r="Q24" i="5"/>
  <c r="R24" i="5"/>
  <c r="S24" i="5"/>
  <c r="T24" i="5"/>
  <c r="U24" i="5"/>
  <c r="V24" i="5"/>
  <c r="O25" i="5"/>
  <c r="P25" i="5"/>
  <c r="Q25" i="5"/>
  <c r="R25" i="5"/>
  <c r="S25" i="5"/>
  <c r="T25" i="5"/>
  <c r="U25" i="5"/>
  <c r="V25" i="5"/>
  <c r="O26" i="5"/>
  <c r="P26" i="5"/>
  <c r="Q26" i="5"/>
  <c r="R26" i="5"/>
  <c r="S26" i="5"/>
  <c r="T26" i="5"/>
  <c r="U26" i="5"/>
  <c r="V26" i="5"/>
  <c r="O27" i="5"/>
  <c r="P27" i="5"/>
  <c r="R27" i="5"/>
  <c r="S27" i="5"/>
  <c r="T27" i="5"/>
  <c r="U27" i="5"/>
  <c r="V27" i="5"/>
  <c r="O28" i="5"/>
  <c r="P28" i="5"/>
  <c r="R28" i="5"/>
  <c r="S28" i="5"/>
  <c r="T28" i="5"/>
  <c r="U28" i="5"/>
  <c r="V28" i="5"/>
  <c r="O29" i="5"/>
  <c r="P29" i="5"/>
  <c r="R29" i="5"/>
  <c r="S29" i="5"/>
  <c r="T29" i="5"/>
  <c r="U29" i="5"/>
  <c r="V29" i="5"/>
  <c r="O30" i="5"/>
  <c r="P30" i="5"/>
  <c r="R30" i="5"/>
  <c r="S30" i="5"/>
  <c r="T30" i="5"/>
  <c r="U30" i="5"/>
  <c r="V30" i="5"/>
  <c r="O31" i="5"/>
  <c r="P31" i="5"/>
  <c r="R31" i="5"/>
  <c r="S31" i="5"/>
  <c r="T31" i="5"/>
  <c r="U31" i="5"/>
  <c r="V31" i="5"/>
  <c r="O32" i="5"/>
  <c r="P32" i="5"/>
  <c r="R32" i="5"/>
  <c r="S32" i="5"/>
  <c r="T32" i="5"/>
  <c r="U32" i="5"/>
  <c r="V32" i="5"/>
  <c r="O33" i="5"/>
  <c r="P33" i="5"/>
  <c r="Q33" i="5"/>
  <c r="R33" i="5"/>
  <c r="S33" i="5"/>
  <c r="T33" i="5"/>
  <c r="U33" i="5"/>
  <c r="V33" i="5"/>
  <c r="O34" i="5"/>
  <c r="P34" i="5"/>
  <c r="Q34" i="5"/>
  <c r="R34" i="5"/>
  <c r="S34" i="5"/>
  <c r="T34" i="5"/>
  <c r="U34" i="5"/>
  <c r="V34" i="5"/>
  <c r="O35" i="5"/>
  <c r="P35" i="5"/>
  <c r="R35" i="5"/>
  <c r="S35" i="5"/>
  <c r="T35" i="5"/>
  <c r="U35" i="5"/>
  <c r="V35" i="5"/>
  <c r="O36" i="5"/>
  <c r="P36" i="5"/>
  <c r="Q36" i="5"/>
  <c r="R36" i="5"/>
  <c r="S36" i="5"/>
  <c r="T36" i="5"/>
  <c r="U36" i="5"/>
  <c r="V36" i="5"/>
  <c r="O37" i="5"/>
  <c r="P37" i="5"/>
  <c r="Q37" i="5"/>
  <c r="R37" i="5"/>
  <c r="S37" i="5"/>
  <c r="T37" i="5"/>
  <c r="U37" i="5"/>
  <c r="V37" i="5"/>
  <c r="O38" i="5"/>
  <c r="P38" i="5"/>
  <c r="Q38" i="5"/>
  <c r="R38" i="5"/>
  <c r="S38" i="5"/>
  <c r="T38" i="5"/>
  <c r="U38" i="5"/>
  <c r="V38" i="5"/>
  <c r="O39" i="5"/>
  <c r="P39" i="5"/>
  <c r="Q39" i="5"/>
  <c r="R39" i="5"/>
  <c r="S39" i="5"/>
  <c r="T39" i="5"/>
  <c r="U39" i="5"/>
  <c r="V39" i="5"/>
  <c r="O40" i="5"/>
  <c r="P40" i="5"/>
  <c r="Q40" i="5"/>
  <c r="R40" i="5"/>
  <c r="S40" i="5"/>
  <c r="T40" i="5"/>
  <c r="U40" i="5"/>
  <c r="V40" i="5"/>
  <c r="O41" i="5"/>
  <c r="P41" i="5"/>
  <c r="Q41" i="5"/>
  <c r="R41" i="5"/>
  <c r="S41" i="5"/>
  <c r="T41" i="5"/>
  <c r="U41" i="5"/>
  <c r="V41" i="5"/>
  <c r="O42" i="5"/>
  <c r="P42" i="5"/>
  <c r="R42" i="5"/>
  <c r="S42" i="5"/>
  <c r="T42" i="5"/>
  <c r="U42" i="5"/>
  <c r="V42" i="5"/>
  <c r="O43" i="5"/>
  <c r="P43" i="5"/>
  <c r="Q43" i="5"/>
  <c r="R43" i="5"/>
  <c r="S43" i="5"/>
  <c r="T43" i="5"/>
  <c r="U43" i="5"/>
  <c r="V43" i="5"/>
  <c r="O44" i="5"/>
  <c r="P44" i="5"/>
  <c r="Q44" i="5"/>
  <c r="R44" i="5"/>
  <c r="S44" i="5"/>
  <c r="T44" i="5"/>
  <c r="U44" i="5"/>
  <c r="V44" i="5"/>
  <c r="O45" i="5"/>
  <c r="P45" i="5"/>
  <c r="Q45" i="5"/>
  <c r="R45" i="5"/>
  <c r="S45" i="5"/>
  <c r="T45" i="5"/>
  <c r="U45" i="5"/>
  <c r="V45" i="5"/>
  <c r="O46" i="5"/>
  <c r="P46" i="5"/>
  <c r="Q46" i="5"/>
  <c r="R46" i="5"/>
  <c r="S46" i="5"/>
  <c r="T46" i="5"/>
  <c r="U46" i="5"/>
  <c r="V46" i="5"/>
  <c r="O47" i="5"/>
  <c r="P47" i="5"/>
  <c r="Q47" i="5"/>
  <c r="R47" i="5"/>
  <c r="S47" i="5"/>
  <c r="T47" i="5"/>
  <c r="U47" i="5"/>
  <c r="V47" i="5"/>
  <c r="O48" i="5"/>
  <c r="P48" i="5"/>
  <c r="Q48" i="5"/>
  <c r="R48" i="5"/>
  <c r="S48" i="5"/>
  <c r="T48" i="5"/>
  <c r="U48" i="5"/>
  <c r="V48" i="5"/>
  <c r="O49" i="5"/>
  <c r="P49" i="5"/>
  <c r="R49" i="5"/>
  <c r="S49" i="5"/>
  <c r="T49" i="5"/>
  <c r="U49" i="5"/>
  <c r="V49" i="5"/>
  <c r="O50" i="5"/>
  <c r="P50" i="5"/>
  <c r="Q50" i="5"/>
  <c r="R50" i="5"/>
  <c r="S50" i="5"/>
  <c r="T50" i="5"/>
  <c r="U50" i="5"/>
  <c r="V50" i="5"/>
  <c r="O51" i="5"/>
  <c r="P51" i="5"/>
  <c r="Q51" i="5"/>
  <c r="R51" i="5"/>
  <c r="S51" i="5"/>
  <c r="T51" i="5"/>
  <c r="U51" i="5"/>
  <c r="V51" i="5"/>
  <c r="O52" i="5"/>
  <c r="P52" i="5"/>
  <c r="Q52" i="5"/>
  <c r="R52" i="5"/>
  <c r="S52" i="5"/>
  <c r="T52" i="5"/>
  <c r="U52" i="5"/>
  <c r="V52" i="5"/>
  <c r="O53" i="5"/>
  <c r="P53" i="5"/>
  <c r="Q53" i="5"/>
  <c r="R53" i="5"/>
  <c r="S53" i="5"/>
  <c r="T53" i="5"/>
  <c r="U53" i="5"/>
  <c r="V53" i="5"/>
  <c r="O54" i="5"/>
  <c r="P54" i="5"/>
  <c r="Q54" i="5"/>
  <c r="R54" i="5"/>
  <c r="S54" i="5"/>
  <c r="T54" i="5"/>
  <c r="U54" i="5"/>
  <c r="V54" i="5"/>
  <c r="O55" i="5"/>
  <c r="P55" i="5"/>
  <c r="Q55" i="5"/>
  <c r="R55" i="5"/>
  <c r="S55" i="5"/>
  <c r="T55" i="5"/>
  <c r="U55" i="5"/>
  <c r="V55" i="5"/>
  <c r="O56" i="5"/>
  <c r="P56" i="5"/>
  <c r="Q56" i="5"/>
  <c r="R56" i="5"/>
  <c r="S56" i="5"/>
  <c r="T56" i="5"/>
  <c r="U56" i="5"/>
  <c r="V56" i="5"/>
  <c r="O57" i="5"/>
  <c r="P57" i="5"/>
  <c r="Q57" i="5"/>
  <c r="R57" i="5"/>
  <c r="S57" i="5"/>
  <c r="T57" i="5"/>
  <c r="U57" i="5"/>
  <c r="V57" i="5"/>
  <c r="O58" i="5"/>
  <c r="P58" i="5"/>
  <c r="Q58" i="5"/>
  <c r="R58" i="5"/>
  <c r="S58" i="5"/>
  <c r="T58" i="5"/>
  <c r="U58" i="5"/>
  <c r="V58" i="5"/>
  <c r="O59" i="5"/>
  <c r="P59" i="5"/>
  <c r="Q59" i="5"/>
  <c r="R59" i="5"/>
  <c r="S59" i="5"/>
  <c r="T59" i="5"/>
  <c r="U59" i="5"/>
  <c r="V59" i="5"/>
  <c r="O60" i="5"/>
  <c r="P60" i="5"/>
  <c r="Q60" i="5"/>
  <c r="R60" i="5"/>
  <c r="S60" i="5"/>
  <c r="T60" i="5"/>
  <c r="U60" i="5"/>
  <c r="V60" i="5"/>
  <c r="O61" i="5"/>
  <c r="P61" i="5"/>
  <c r="Q61" i="5"/>
  <c r="R61" i="5"/>
  <c r="S61" i="5"/>
  <c r="T61" i="5"/>
  <c r="U61" i="5"/>
  <c r="V61" i="5"/>
  <c r="O62" i="5"/>
  <c r="P62" i="5"/>
  <c r="Q62" i="5"/>
  <c r="R62" i="5"/>
  <c r="S62" i="5"/>
  <c r="T62" i="5"/>
  <c r="U62" i="5"/>
  <c r="V62" i="5"/>
  <c r="O63" i="5"/>
  <c r="P63" i="5"/>
  <c r="Q63" i="5"/>
  <c r="R63" i="5"/>
  <c r="S63" i="5"/>
  <c r="T63" i="5"/>
  <c r="U63" i="5"/>
  <c r="V63" i="5"/>
  <c r="O64" i="5"/>
  <c r="P64" i="5"/>
  <c r="Q64" i="5"/>
  <c r="R64" i="5"/>
  <c r="S64" i="5"/>
  <c r="T64" i="5"/>
  <c r="U64" i="5"/>
  <c r="V64" i="5"/>
  <c r="O65" i="5"/>
  <c r="P65" i="5"/>
  <c r="Q65" i="5"/>
  <c r="R65" i="5"/>
  <c r="S65" i="5"/>
  <c r="T65" i="5"/>
  <c r="U65" i="5"/>
  <c r="V65" i="5"/>
  <c r="O66" i="5"/>
  <c r="P66" i="5"/>
  <c r="Q66" i="5"/>
  <c r="R66" i="5"/>
  <c r="S66" i="5"/>
  <c r="T66" i="5"/>
  <c r="U66" i="5"/>
  <c r="V66" i="5"/>
  <c r="O67" i="5"/>
  <c r="P67" i="5"/>
  <c r="Q67" i="5"/>
  <c r="R67" i="5"/>
  <c r="S67" i="5"/>
  <c r="T67" i="5"/>
  <c r="U67" i="5"/>
  <c r="V67" i="5"/>
  <c r="O68" i="5"/>
  <c r="P68" i="5"/>
  <c r="Q68" i="5"/>
  <c r="R68" i="5"/>
  <c r="S68" i="5"/>
  <c r="T68" i="5"/>
  <c r="U68" i="5"/>
  <c r="V68" i="5"/>
  <c r="O69" i="5"/>
  <c r="P69" i="5"/>
  <c r="Q69" i="5"/>
  <c r="R69" i="5"/>
  <c r="S69" i="5"/>
  <c r="T69" i="5"/>
  <c r="U69" i="5"/>
  <c r="V69" i="5"/>
  <c r="O70" i="5"/>
  <c r="P70" i="5"/>
  <c r="Q70" i="5"/>
  <c r="R70" i="5"/>
  <c r="S70" i="5"/>
  <c r="T70" i="5"/>
  <c r="U70" i="5"/>
  <c r="V70" i="5"/>
  <c r="O71" i="5"/>
  <c r="P71" i="5"/>
  <c r="Q71" i="5"/>
  <c r="R71" i="5"/>
  <c r="S71" i="5"/>
  <c r="T71" i="5"/>
  <c r="U71" i="5"/>
  <c r="V71" i="5"/>
  <c r="O72" i="5"/>
  <c r="P72" i="5"/>
  <c r="Q72" i="5"/>
  <c r="R72" i="5"/>
  <c r="S72" i="5"/>
  <c r="T72" i="5"/>
  <c r="U72" i="5"/>
  <c r="V72" i="5"/>
  <c r="O73" i="5"/>
  <c r="P73" i="5"/>
  <c r="Q73" i="5"/>
  <c r="R73" i="5"/>
  <c r="S73" i="5"/>
  <c r="T73" i="5"/>
  <c r="U73" i="5"/>
  <c r="V73" i="5"/>
  <c r="O74" i="5"/>
  <c r="P74" i="5"/>
  <c r="Q74" i="5"/>
  <c r="R74" i="5"/>
  <c r="S74" i="5"/>
  <c r="T74" i="5"/>
  <c r="U74" i="5"/>
  <c r="V74" i="5"/>
  <c r="O75" i="5"/>
  <c r="P75" i="5"/>
  <c r="Q75" i="5"/>
  <c r="R75" i="5"/>
  <c r="S75" i="5"/>
  <c r="T75" i="5"/>
  <c r="U75" i="5"/>
  <c r="V75" i="5"/>
  <c r="O76" i="5"/>
  <c r="P76" i="5"/>
  <c r="Q76" i="5"/>
  <c r="R76" i="5"/>
  <c r="S76" i="5"/>
  <c r="T76" i="5"/>
  <c r="U76" i="5"/>
  <c r="V76" i="5"/>
  <c r="O77" i="5"/>
  <c r="P77" i="5"/>
  <c r="Q77" i="5"/>
  <c r="R77" i="5"/>
  <c r="S77" i="5"/>
  <c r="T77" i="5"/>
  <c r="U77" i="5"/>
  <c r="V77" i="5"/>
  <c r="O78" i="5"/>
  <c r="P78" i="5"/>
  <c r="Q78" i="5"/>
  <c r="R78" i="5"/>
  <c r="S78" i="5"/>
  <c r="T78" i="5"/>
  <c r="U78" i="5"/>
  <c r="V78" i="5"/>
  <c r="O79" i="5"/>
  <c r="P79" i="5"/>
  <c r="Q79" i="5"/>
  <c r="R79" i="5"/>
  <c r="S79" i="5"/>
  <c r="T79" i="5"/>
  <c r="U79" i="5"/>
  <c r="V79" i="5"/>
  <c r="O80" i="5"/>
  <c r="P80" i="5"/>
  <c r="Q80" i="5"/>
  <c r="R80" i="5"/>
  <c r="S80" i="5"/>
  <c r="T80" i="5"/>
  <c r="U80" i="5"/>
  <c r="V80" i="5"/>
  <c r="O81" i="5"/>
  <c r="P81" i="5"/>
  <c r="Q81" i="5"/>
  <c r="R81" i="5"/>
  <c r="S81" i="5"/>
  <c r="T81" i="5"/>
  <c r="U81" i="5"/>
  <c r="V81" i="5"/>
  <c r="O82" i="5"/>
  <c r="P82" i="5"/>
  <c r="Q82" i="5"/>
  <c r="R82" i="5"/>
  <c r="S82" i="5"/>
  <c r="T82" i="5"/>
  <c r="U82" i="5"/>
  <c r="V82" i="5"/>
  <c r="O83" i="5"/>
  <c r="P83" i="5"/>
  <c r="Q83" i="5"/>
  <c r="R83" i="5"/>
  <c r="S83" i="5"/>
  <c r="T83" i="5"/>
  <c r="U83" i="5"/>
  <c r="V83" i="5"/>
  <c r="O84" i="5"/>
  <c r="P84" i="5"/>
  <c r="Q84" i="5"/>
  <c r="R84" i="5"/>
  <c r="S84" i="5"/>
  <c r="T84" i="5"/>
  <c r="U84" i="5"/>
  <c r="V84" i="5"/>
  <c r="O85" i="5"/>
  <c r="P85" i="5"/>
  <c r="Q85" i="5"/>
  <c r="R85" i="5"/>
  <c r="S85" i="5"/>
  <c r="T85" i="5"/>
  <c r="U85" i="5"/>
  <c r="V85" i="5"/>
  <c r="O86" i="5"/>
  <c r="P86" i="5"/>
  <c r="Q86" i="5"/>
  <c r="R86" i="5"/>
  <c r="S86" i="5"/>
  <c r="T86" i="5"/>
  <c r="U86" i="5"/>
  <c r="V86" i="5"/>
  <c r="O87" i="5"/>
  <c r="P87" i="5"/>
  <c r="Q87" i="5"/>
  <c r="R87" i="5"/>
  <c r="S87" i="5"/>
  <c r="T87" i="5"/>
  <c r="U87" i="5"/>
  <c r="V87" i="5"/>
  <c r="O88" i="5"/>
  <c r="P88" i="5"/>
  <c r="Q88" i="5"/>
  <c r="R88" i="5"/>
  <c r="S88" i="5"/>
  <c r="T88" i="5"/>
  <c r="U88" i="5"/>
  <c r="V88" i="5"/>
  <c r="O89" i="5"/>
  <c r="P89" i="5"/>
  <c r="Q89" i="5"/>
  <c r="R89" i="5"/>
  <c r="S89" i="5"/>
  <c r="T89" i="5"/>
  <c r="U89" i="5"/>
  <c r="V89" i="5"/>
  <c r="O90" i="5"/>
  <c r="P90" i="5"/>
  <c r="Q90" i="5"/>
  <c r="R90" i="5"/>
  <c r="S90" i="5"/>
  <c r="T90" i="5"/>
  <c r="U90" i="5"/>
  <c r="V90" i="5"/>
  <c r="O91" i="5"/>
  <c r="P91" i="5"/>
  <c r="Q91" i="5"/>
  <c r="R91" i="5"/>
  <c r="S91" i="5"/>
  <c r="T91" i="5"/>
  <c r="U91" i="5"/>
  <c r="V91" i="5"/>
  <c r="O92" i="5"/>
  <c r="P92" i="5"/>
  <c r="Q92" i="5"/>
  <c r="R92" i="5"/>
  <c r="S92" i="5"/>
  <c r="T92" i="5"/>
  <c r="U92" i="5"/>
  <c r="V92" i="5"/>
  <c r="O93" i="5"/>
  <c r="P93" i="5"/>
  <c r="Q93" i="5"/>
  <c r="R93" i="5"/>
  <c r="S93" i="5"/>
  <c r="T93" i="5"/>
  <c r="U93" i="5"/>
  <c r="V93" i="5"/>
  <c r="O94" i="5"/>
  <c r="P94" i="5"/>
  <c r="Q94" i="5"/>
  <c r="R94" i="5"/>
  <c r="S94" i="5"/>
  <c r="T94" i="5"/>
  <c r="U94" i="5"/>
  <c r="V94" i="5"/>
  <c r="O95" i="5"/>
  <c r="P95" i="5"/>
  <c r="Q95" i="5"/>
  <c r="R95" i="5"/>
  <c r="S95" i="5"/>
  <c r="T95" i="5"/>
  <c r="U95" i="5"/>
  <c r="V95" i="5"/>
  <c r="E96" i="5"/>
  <c r="H96" i="5"/>
  <c r="K96" i="5"/>
  <c r="M96" i="5"/>
  <c r="N96" i="5"/>
  <c r="Q96" i="5"/>
  <c r="R96" i="5"/>
  <c r="S96" i="5"/>
  <c r="T96" i="5"/>
  <c r="U96" i="5"/>
  <c r="V96" i="5"/>
  <c r="N97" i="5"/>
  <c r="V97" i="5"/>
  <c r="C3" i="6"/>
  <c r="E8" i="6"/>
  <c r="H8" i="6"/>
  <c r="K8" i="6"/>
  <c r="N8" i="6"/>
  <c r="S8" i="6"/>
  <c r="O9" i="6"/>
  <c r="O10" i="6"/>
  <c r="P10" i="6"/>
  <c r="Q10" i="6"/>
  <c r="R10" i="6"/>
  <c r="S10" i="6"/>
  <c r="T10" i="6"/>
  <c r="U10" i="6"/>
  <c r="V10" i="6"/>
  <c r="O11" i="6"/>
  <c r="P11" i="6"/>
  <c r="Q11" i="6"/>
  <c r="R11" i="6"/>
  <c r="S11" i="6"/>
  <c r="T11" i="6"/>
  <c r="U11" i="6"/>
  <c r="V11" i="6"/>
  <c r="O12" i="6"/>
  <c r="P12" i="6"/>
  <c r="Q12" i="6"/>
  <c r="R12" i="6"/>
  <c r="S12" i="6"/>
  <c r="T12" i="6"/>
  <c r="U12" i="6"/>
  <c r="V12" i="6"/>
  <c r="O13" i="6"/>
  <c r="P13" i="6"/>
  <c r="Q13" i="6"/>
  <c r="R13" i="6"/>
  <c r="S13" i="6"/>
  <c r="T13" i="6"/>
  <c r="U13" i="6"/>
  <c r="V13" i="6"/>
  <c r="O14" i="6"/>
  <c r="P14" i="6"/>
  <c r="Q14" i="6"/>
  <c r="R14" i="6"/>
  <c r="S14" i="6"/>
  <c r="T14" i="6"/>
  <c r="U14" i="6"/>
  <c r="V14" i="6"/>
  <c r="O15" i="6"/>
  <c r="P15" i="6"/>
  <c r="Q15" i="6"/>
  <c r="R15" i="6"/>
  <c r="S15" i="6"/>
  <c r="T15" i="6"/>
  <c r="U15" i="6"/>
  <c r="V15" i="6"/>
  <c r="O16" i="6"/>
  <c r="P16" i="6"/>
  <c r="Q16" i="6"/>
  <c r="R16" i="6"/>
  <c r="S16" i="6"/>
  <c r="T16" i="6"/>
  <c r="U16" i="6"/>
  <c r="V16" i="6"/>
  <c r="O17" i="6"/>
  <c r="P17" i="6"/>
  <c r="Q17" i="6"/>
  <c r="R17" i="6"/>
  <c r="S17" i="6"/>
  <c r="T17" i="6"/>
  <c r="U17" i="6"/>
  <c r="V17" i="6"/>
  <c r="O18" i="6"/>
  <c r="P18" i="6"/>
  <c r="Q18" i="6"/>
  <c r="R18" i="6"/>
  <c r="S18" i="6"/>
  <c r="T18" i="6"/>
  <c r="U18" i="6"/>
  <c r="V18" i="6"/>
  <c r="O19" i="6"/>
  <c r="P19" i="6"/>
  <c r="Q19" i="6"/>
  <c r="R19" i="6"/>
  <c r="S19" i="6"/>
  <c r="T19" i="6"/>
  <c r="U19" i="6"/>
  <c r="V19" i="6"/>
  <c r="O20" i="6"/>
  <c r="P20" i="6"/>
  <c r="Q20" i="6"/>
  <c r="R20" i="6"/>
  <c r="S20" i="6"/>
  <c r="T20" i="6"/>
  <c r="U20" i="6"/>
  <c r="V20" i="6"/>
  <c r="O21" i="6"/>
  <c r="P21" i="6"/>
  <c r="Q21" i="6"/>
  <c r="R21" i="6"/>
  <c r="S21" i="6"/>
  <c r="T21" i="6"/>
  <c r="U21" i="6"/>
  <c r="V21" i="6"/>
  <c r="O22" i="6"/>
  <c r="P22" i="6"/>
  <c r="R22" i="6"/>
  <c r="S22" i="6"/>
  <c r="T22" i="6"/>
  <c r="U22" i="6"/>
  <c r="V22" i="6"/>
  <c r="O23" i="6"/>
  <c r="P23" i="6"/>
  <c r="Q23" i="6"/>
  <c r="R23" i="6"/>
  <c r="S23" i="6"/>
  <c r="T23" i="6"/>
  <c r="U23" i="6"/>
  <c r="V23" i="6"/>
  <c r="O24" i="6"/>
  <c r="P24" i="6"/>
  <c r="Q24" i="6"/>
  <c r="R24" i="6"/>
  <c r="S24" i="6"/>
  <c r="T24" i="6"/>
  <c r="U24" i="6"/>
  <c r="V24" i="6"/>
  <c r="O25" i="6"/>
  <c r="P25" i="6"/>
  <c r="Q25" i="6"/>
  <c r="R25" i="6"/>
  <c r="S25" i="6"/>
  <c r="T25" i="6"/>
  <c r="U25" i="6"/>
  <c r="V25" i="6"/>
  <c r="O26" i="6"/>
  <c r="P26" i="6"/>
  <c r="Q26" i="6"/>
  <c r="R26" i="6"/>
  <c r="S26" i="6"/>
  <c r="T26" i="6"/>
  <c r="U26" i="6"/>
  <c r="V26" i="6"/>
  <c r="O27" i="6"/>
  <c r="P27" i="6"/>
  <c r="Q27" i="6"/>
  <c r="R27" i="6"/>
  <c r="S27" i="6"/>
  <c r="T27" i="6"/>
  <c r="U27" i="6"/>
  <c r="V27" i="6"/>
  <c r="O28" i="6"/>
  <c r="P28" i="6"/>
  <c r="Q28" i="6"/>
  <c r="R28" i="6"/>
  <c r="S28" i="6"/>
  <c r="T28" i="6"/>
  <c r="U28" i="6"/>
  <c r="V28" i="6"/>
  <c r="O29" i="6"/>
  <c r="P29" i="6"/>
  <c r="Q29" i="6"/>
  <c r="R29" i="6"/>
  <c r="S29" i="6"/>
  <c r="T29" i="6"/>
  <c r="U29" i="6"/>
  <c r="V29" i="6"/>
  <c r="O30" i="6"/>
  <c r="P30" i="6"/>
  <c r="Q30" i="6"/>
  <c r="R30" i="6"/>
  <c r="S30" i="6"/>
  <c r="T30" i="6"/>
  <c r="U30" i="6"/>
  <c r="V30" i="6"/>
  <c r="O31" i="6"/>
  <c r="P31" i="6"/>
  <c r="Q31" i="6"/>
  <c r="R31" i="6"/>
  <c r="S31" i="6"/>
  <c r="T31" i="6"/>
  <c r="U31" i="6"/>
  <c r="V31" i="6"/>
  <c r="O32" i="6"/>
  <c r="P32" i="6"/>
  <c r="Q32" i="6"/>
  <c r="R32" i="6"/>
  <c r="S32" i="6"/>
  <c r="T32" i="6"/>
  <c r="U32" i="6"/>
  <c r="V32" i="6"/>
  <c r="O33" i="6"/>
  <c r="P33" i="6"/>
  <c r="Q33" i="6"/>
  <c r="R33" i="6"/>
  <c r="S33" i="6"/>
  <c r="T33" i="6"/>
  <c r="U33" i="6"/>
  <c r="V33" i="6"/>
  <c r="O34" i="6"/>
  <c r="P34" i="6"/>
  <c r="Q34" i="6"/>
  <c r="R34" i="6"/>
  <c r="S34" i="6"/>
  <c r="T34" i="6"/>
  <c r="U34" i="6"/>
  <c r="V34" i="6"/>
  <c r="O35" i="6"/>
  <c r="P35" i="6"/>
  <c r="Q35" i="6"/>
  <c r="R35" i="6"/>
  <c r="S35" i="6"/>
  <c r="T35" i="6"/>
  <c r="U35" i="6"/>
  <c r="V35" i="6"/>
  <c r="O36" i="6"/>
  <c r="P36" i="6"/>
  <c r="Q36" i="6"/>
  <c r="R36" i="6"/>
  <c r="S36" i="6"/>
  <c r="T36" i="6"/>
  <c r="U36" i="6"/>
  <c r="V36" i="6"/>
  <c r="O37" i="6"/>
  <c r="P37" i="6"/>
  <c r="Q37" i="6"/>
  <c r="R37" i="6"/>
  <c r="S37" i="6"/>
  <c r="T37" i="6"/>
  <c r="U37" i="6"/>
  <c r="V37" i="6"/>
  <c r="O38" i="6"/>
  <c r="P38" i="6"/>
  <c r="Q38" i="6"/>
  <c r="R38" i="6"/>
  <c r="S38" i="6"/>
  <c r="T38" i="6"/>
  <c r="U38" i="6"/>
  <c r="V38" i="6"/>
  <c r="O39" i="6"/>
  <c r="P39" i="6"/>
  <c r="R39" i="6"/>
  <c r="S39" i="6"/>
  <c r="T39" i="6"/>
  <c r="U39" i="6"/>
  <c r="V39" i="6"/>
  <c r="O40" i="6"/>
  <c r="P40" i="6"/>
  <c r="Q40" i="6"/>
  <c r="R40" i="6"/>
  <c r="S40" i="6"/>
  <c r="T40" i="6"/>
  <c r="U40" i="6"/>
  <c r="V40" i="6"/>
  <c r="O41" i="6"/>
  <c r="P41" i="6"/>
  <c r="Q41" i="6"/>
  <c r="R41" i="6"/>
  <c r="S41" i="6"/>
  <c r="T41" i="6"/>
  <c r="U41" i="6"/>
  <c r="V41" i="6"/>
  <c r="O42" i="6"/>
  <c r="P42" i="6"/>
  <c r="Q42" i="6"/>
  <c r="R42" i="6"/>
  <c r="S42" i="6"/>
  <c r="T42" i="6"/>
  <c r="U42" i="6"/>
  <c r="V42" i="6"/>
  <c r="O43" i="6"/>
  <c r="P43" i="6"/>
  <c r="Q43" i="6"/>
  <c r="R43" i="6"/>
  <c r="S43" i="6"/>
  <c r="T43" i="6"/>
  <c r="U43" i="6"/>
  <c r="V43" i="6"/>
  <c r="O44" i="6"/>
  <c r="P44" i="6"/>
  <c r="R44" i="6"/>
  <c r="S44" i="6"/>
  <c r="T44" i="6"/>
  <c r="U44" i="6"/>
  <c r="V44" i="6"/>
  <c r="O45" i="6"/>
  <c r="P45" i="6"/>
  <c r="Q45" i="6"/>
  <c r="R45" i="6"/>
  <c r="S45" i="6"/>
  <c r="T45" i="6"/>
  <c r="U45" i="6"/>
  <c r="V45" i="6"/>
  <c r="O46" i="6"/>
  <c r="P46" i="6"/>
  <c r="Q46" i="6"/>
  <c r="R46" i="6"/>
  <c r="S46" i="6"/>
  <c r="T46" i="6"/>
  <c r="U46" i="6"/>
  <c r="V46" i="6"/>
  <c r="O47" i="6"/>
  <c r="P47" i="6"/>
  <c r="Q47" i="6"/>
  <c r="R47" i="6"/>
  <c r="S47" i="6"/>
  <c r="T47" i="6"/>
  <c r="U47" i="6"/>
  <c r="V47" i="6"/>
  <c r="O48" i="6"/>
  <c r="P48" i="6"/>
  <c r="Q48" i="6"/>
  <c r="R48" i="6"/>
  <c r="S48" i="6"/>
  <c r="T48" i="6"/>
  <c r="U48" i="6"/>
  <c r="V48" i="6"/>
  <c r="O49" i="6"/>
  <c r="P49" i="6"/>
  <c r="R49" i="6"/>
  <c r="S49" i="6"/>
  <c r="T49" i="6"/>
  <c r="U49" i="6"/>
  <c r="V49" i="6"/>
  <c r="O50" i="6"/>
  <c r="P50" i="6"/>
  <c r="R50" i="6"/>
  <c r="S50" i="6"/>
  <c r="T50" i="6"/>
  <c r="U50" i="6"/>
  <c r="V50" i="6"/>
  <c r="O51" i="6"/>
  <c r="P51" i="6"/>
  <c r="Q51" i="6"/>
  <c r="R51" i="6"/>
  <c r="S51" i="6"/>
  <c r="T51" i="6"/>
  <c r="U51" i="6"/>
  <c r="V51" i="6"/>
  <c r="O52" i="6"/>
  <c r="P52" i="6"/>
  <c r="Q52" i="6"/>
  <c r="R52" i="6"/>
  <c r="S52" i="6"/>
  <c r="T52" i="6"/>
  <c r="U52" i="6"/>
  <c r="V52" i="6"/>
  <c r="O53" i="6"/>
  <c r="P53" i="6"/>
  <c r="Q53" i="6"/>
  <c r="R53" i="6"/>
  <c r="S53" i="6"/>
  <c r="T53" i="6"/>
  <c r="U53" i="6"/>
  <c r="V53" i="6"/>
  <c r="O54" i="6"/>
  <c r="P54" i="6"/>
  <c r="Q54" i="6"/>
  <c r="R54" i="6"/>
  <c r="S54" i="6"/>
  <c r="T54" i="6"/>
  <c r="U54" i="6"/>
  <c r="V54" i="6"/>
  <c r="O55" i="6"/>
  <c r="P55" i="6"/>
  <c r="Q55" i="6"/>
  <c r="R55" i="6"/>
  <c r="S55" i="6"/>
  <c r="T55" i="6"/>
  <c r="U55" i="6"/>
  <c r="V55" i="6"/>
  <c r="O56" i="6"/>
  <c r="P56" i="6"/>
  <c r="Q56" i="6"/>
  <c r="R56" i="6"/>
  <c r="S56" i="6"/>
  <c r="T56" i="6"/>
  <c r="U56" i="6"/>
  <c r="V56" i="6"/>
  <c r="O57" i="6"/>
  <c r="P57" i="6"/>
  <c r="Q57" i="6"/>
  <c r="R57" i="6"/>
  <c r="S57" i="6"/>
  <c r="T57" i="6"/>
  <c r="U57" i="6"/>
  <c r="V57" i="6"/>
  <c r="O58" i="6"/>
  <c r="P58" i="6"/>
  <c r="Q58" i="6"/>
  <c r="R58" i="6"/>
  <c r="S58" i="6"/>
  <c r="T58" i="6"/>
  <c r="U58" i="6"/>
  <c r="V58" i="6"/>
  <c r="O59" i="6"/>
  <c r="P59" i="6"/>
  <c r="Q59" i="6"/>
  <c r="R59" i="6"/>
  <c r="S59" i="6"/>
  <c r="T59" i="6"/>
  <c r="U59" i="6"/>
  <c r="V59" i="6"/>
  <c r="O60" i="6"/>
  <c r="P60" i="6"/>
  <c r="Q60" i="6"/>
  <c r="R60" i="6"/>
  <c r="S60" i="6"/>
  <c r="T60" i="6"/>
  <c r="U60" i="6"/>
  <c r="V60" i="6"/>
  <c r="O61" i="6"/>
  <c r="P61" i="6"/>
  <c r="Q61" i="6"/>
  <c r="R61" i="6"/>
  <c r="S61" i="6"/>
  <c r="T61" i="6"/>
  <c r="U61" i="6"/>
  <c r="V61" i="6"/>
  <c r="O62" i="6"/>
  <c r="P62" i="6"/>
  <c r="Q62" i="6"/>
  <c r="R62" i="6"/>
  <c r="S62" i="6"/>
  <c r="T62" i="6"/>
  <c r="U62" i="6"/>
  <c r="V62" i="6"/>
  <c r="O63" i="6"/>
  <c r="P63" i="6"/>
  <c r="Q63" i="6"/>
  <c r="R63" i="6"/>
  <c r="S63" i="6"/>
  <c r="T63" i="6"/>
  <c r="U63" i="6"/>
  <c r="V63" i="6"/>
  <c r="O64" i="6"/>
  <c r="P64" i="6"/>
  <c r="Q64" i="6"/>
  <c r="R64" i="6"/>
  <c r="S64" i="6"/>
  <c r="T64" i="6"/>
  <c r="U64" i="6"/>
  <c r="V64" i="6"/>
  <c r="O65" i="6"/>
  <c r="P65" i="6"/>
  <c r="Q65" i="6"/>
  <c r="R65" i="6"/>
  <c r="S65" i="6"/>
  <c r="T65" i="6"/>
  <c r="U65" i="6"/>
  <c r="V65" i="6"/>
  <c r="O66" i="6"/>
  <c r="P66" i="6"/>
  <c r="Q66" i="6"/>
  <c r="R66" i="6"/>
  <c r="S66" i="6"/>
  <c r="T66" i="6"/>
  <c r="U66" i="6"/>
  <c r="V66" i="6"/>
  <c r="O67" i="6"/>
  <c r="P67" i="6"/>
  <c r="Q67" i="6"/>
  <c r="R67" i="6"/>
  <c r="S67" i="6"/>
  <c r="T67" i="6"/>
  <c r="U67" i="6"/>
  <c r="V67" i="6"/>
  <c r="O68" i="6"/>
  <c r="P68" i="6"/>
  <c r="Q68" i="6"/>
  <c r="R68" i="6"/>
  <c r="S68" i="6"/>
  <c r="T68" i="6"/>
  <c r="U68" i="6"/>
  <c r="V68" i="6"/>
  <c r="O69" i="6"/>
  <c r="P69" i="6"/>
  <c r="Q69" i="6"/>
  <c r="R69" i="6"/>
  <c r="S69" i="6"/>
  <c r="T69" i="6"/>
  <c r="U69" i="6"/>
  <c r="V69" i="6"/>
  <c r="O70" i="6"/>
  <c r="P70" i="6"/>
  <c r="Q70" i="6"/>
  <c r="R70" i="6"/>
  <c r="S70" i="6"/>
  <c r="T70" i="6"/>
  <c r="U70" i="6"/>
  <c r="V70" i="6"/>
  <c r="O71" i="6"/>
  <c r="P71" i="6"/>
  <c r="Q71" i="6"/>
  <c r="R71" i="6"/>
  <c r="S71" i="6"/>
  <c r="T71" i="6"/>
  <c r="U71" i="6"/>
  <c r="V71" i="6"/>
  <c r="O72" i="6"/>
  <c r="P72" i="6"/>
  <c r="Q72" i="6"/>
  <c r="R72" i="6"/>
  <c r="S72" i="6"/>
  <c r="T72" i="6"/>
  <c r="U72" i="6"/>
  <c r="V72" i="6"/>
  <c r="O73" i="6"/>
  <c r="P73" i="6"/>
  <c r="Q73" i="6"/>
  <c r="R73" i="6"/>
  <c r="S73" i="6"/>
  <c r="T73" i="6"/>
  <c r="U73" i="6"/>
  <c r="V73" i="6"/>
  <c r="O74" i="6"/>
  <c r="P74" i="6"/>
  <c r="Q74" i="6"/>
  <c r="R74" i="6"/>
  <c r="S74" i="6"/>
  <c r="T74" i="6"/>
  <c r="U74" i="6"/>
  <c r="V74" i="6"/>
  <c r="O75" i="6"/>
  <c r="P75" i="6"/>
  <c r="Q75" i="6"/>
  <c r="R75" i="6"/>
  <c r="S75" i="6"/>
  <c r="T75" i="6"/>
  <c r="U75" i="6"/>
  <c r="V75" i="6"/>
  <c r="O76" i="6"/>
  <c r="P76" i="6"/>
  <c r="Q76" i="6"/>
  <c r="R76" i="6"/>
  <c r="S76" i="6"/>
  <c r="T76" i="6"/>
  <c r="U76" i="6"/>
  <c r="V76" i="6"/>
  <c r="O77" i="6"/>
  <c r="P77" i="6"/>
  <c r="Q77" i="6"/>
  <c r="R77" i="6"/>
  <c r="S77" i="6"/>
  <c r="T77" i="6"/>
  <c r="U77" i="6"/>
  <c r="V77" i="6"/>
  <c r="O78" i="6"/>
  <c r="P78" i="6"/>
  <c r="Q78" i="6"/>
  <c r="R78" i="6"/>
  <c r="S78" i="6"/>
  <c r="T78" i="6"/>
  <c r="U78" i="6"/>
  <c r="V78" i="6"/>
  <c r="O79" i="6"/>
  <c r="P79" i="6"/>
  <c r="Q79" i="6"/>
  <c r="R79" i="6"/>
  <c r="S79" i="6"/>
  <c r="T79" i="6"/>
  <c r="U79" i="6"/>
  <c r="V79" i="6"/>
  <c r="O80" i="6"/>
  <c r="P80" i="6"/>
  <c r="Q80" i="6"/>
  <c r="R80" i="6"/>
  <c r="S80" i="6"/>
  <c r="T80" i="6"/>
  <c r="U80" i="6"/>
  <c r="V80" i="6"/>
  <c r="O81" i="6"/>
  <c r="P81" i="6"/>
  <c r="Q81" i="6"/>
  <c r="R81" i="6"/>
  <c r="S81" i="6"/>
  <c r="T81" i="6"/>
  <c r="U81" i="6"/>
  <c r="V81" i="6"/>
  <c r="O82" i="6"/>
  <c r="P82" i="6"/>
  <c r="Q82" i="6"/>
  <c r="R82" i="6"/>
  <c r="S82" i="6"/>
  <c r="T82" i="6"/>
  <c r="U82" i="6"/>
  <c r="V82" i="6"/>
  <c r="O83" i="6"/>
  <c r="P83" i="6"/>
  <c r="Q83" i="6"/>
  <c r="R83" i="6"/>
  <c r="S83" i="6"/>
  <c r="T83" i="6"/>
  <c r="U83" i="6"/>
  <c r="V83" i="6"/>
  <c r="O84" i="6"/>
  <c r="P84" i="6"/>
  <c r="Q84" i="6"/>
  <c r="R84" i="6"/>
  <c r="S84" i="6"/>
  <c r="T84" i="6"/>
  <c r="U84" i="6"/>
  <c r="V84" i="6"/>
  <c r="O85" i="6"/>
  <c r="P85" i="6"/>
  <c r="Q85" i="6"/>
  <c r="R85" i="6"/>
  <c r="S85" i="6"/>
  <c r="T85" i="6"/>
  <c r="U85" i="6"/>
  <c r="V85" i="6"/>
  <c r="O86" i="6"/>
  <c r="P86" i="6"/>
  <c r="Q86" i="6"/>
  <c r="R86" i="6"/>
  <c r="S86" i="6"/>
  <c r="T86" i="6"/>
  <c r="U86" i="6"/>
  <c r="V86" i="6"/>
  <c r="O87" i="6"/>
  <c r="P87" i="6"/>
  <c r="Q87" i="6"/>
  <c r="R87" i="6"/>
  <c r="S87" i="6"/>
  <c r="T87" i="6"/>
  <c r="U87" i="6"/>
  <c r="V87" i="6"/>
  <c r="O88" i="6"/>
  <c r="P88" i="6"/>
  <c r="Q88" i="6"/>
  <c r="R88" i="6"/>
  <c r="S88" i="6"/>
  <c r="T88" i="6"/>
  <c r="U88" i="6"/>
  <c r="V88" i="6"/>
  <c r="O89" i="6"/>
  <c r="P89" i="6"/>
  <c r="Q89" i="6"/>
  <c r="R89" i="6"/>
  <c r="S89" i="6"/>
  <c r="T89" i="6"/>
  <c r="U89" i="6"/>
  <c r="V89" i="6"/>
  <c r="O90" i="6"/>
  <c r="P90" i="6"/>
  <c r="Q90" i="6"/>
  <c r="R90" i="6"/>
  <c r="S90" i="6"/>
  <c r="T90" i="6"/>
  <c r="U90" i="6"/>
  <c r="V90" i="6"/>
  <c r="O91" i="6"/>
  <c r="P91" i="6"/>
  <c r="Q91" i="6"/>
  <c r="R91" i="6"/>
  <c r="S91" i="6"/>
  <c r="T91" i="6"/>
  <c r="U91" i="6"/>
  <c r="V91" i="6"/>
  <c r="O92" i="6"/>
  <c r="P92" i="6"/>
  <c r="Q92" i="6"/>
  <c r="R92" i="6"/>
  <c r="S92" i="6"/>
  <c r="T92" i="6"/>
  <c r="U92" i="6"/>
  <c r="V92" i="6"/>
  <c r="O93" i="6"/>
  <c r="P93" i="6"/>
  <c r="Q93" i="6"/>
  <c r="R93" i="6"/>
  <c r="S93" i="6"/>
  <c r="T93" i="6"/>
  <c r="U93" i="6"/>
  <c r="V93" i="6"/>
  <c r="O94" i="6"/>
  <c r="P94" i="6"/>
  <c r="Q94" i="6"/>
  <c r="R94" i="6"/>
  <c r="S94" i="6"/>
  <c r="T94" i="6"/>
  <c r="U94" i="6"/>
  <c r="V94" i="6"/>
  <c r="O95" i="6"/>
  <c r="P95" i="6"/>
  <c r="Q95" i="6"/>
  <c r="R95" i="6"/>
  <c r="S95" i="6"/>
  <c r="T95" i="6"/>
  <c r="U95" i="6"/>
  <c r="V95" i="6"/>
  <c r="O96" i="6"/>
  <c r="P96" i="6"/>
  <c r="Q96" i="6"/>
  <c r="R96" i="6"/>
  <c r="S96" i="6"/>
  <c r="T96" i="6"/>
  <c r="U96" i="6"/>
  <c r="V96" i="6"/>
  <c r="E97" i="6"/>
  <c r="H97" i="6"/>
  <c r="K97" i="6"/>
  <c r="M97" i="6"/>
  <c r="N97" i="6"/>
  <c r="Q97" i="6"/>
  <c r="R97" i="6"/>
  <c r="S97" i="6"/>
  <c r="T97" i="6"/>
  <c r="U97" i="6"/>
  <c r="V97" i="6"/>
  <c r="N98" i="6"/>
  <c r="C3" i="7"/>
  <c r="E8" i="7"/>
  <c r="H8" i="7"/>
  <c r="K8" i="7"/>
  <c r="N8" i="7"/>
  <c r="S8" i="7"/>
  <c r="O9" i="7"/>
  <c r="O10" i="7"/>
  <c r="P10" i="7"/>
  <c r="Q10" i="7"/>
  <c r="R10" i="7"/>
  <c r="S10" i="7"/>
  <c r="T10" i="7"/>
  <c r="U10" i="7"/>
  <c r="V10" i="7"/>
  <c r="O11" i="7"/>
  <c r="P11" i="7"/>
  <c r="Q11" i="7"/>
  <c r="R11" i="7"/>
  <c r="S11" i="7"/>
  <c r="T11" i="7"/>
  <c r="U11" i="7"/>
  <c r="V11" i="7"/>
  <c r="O12" i="7"/>
  <c r="P12" i="7"/>
  <c r="Q12" i="7"/>
  <c r="R12" i="7"/>
  <c r="S12" i="7"/>
  <c r="T12" i="7"/>
  <c r="U12" i="7"/>
  <c r="V12" i="7"/>
  <c r="O13" i="7"/>
  <c r="P13" i="7"/>
  <c r="Q13" i="7"/>
  <c r="R13" i="7"/>
  <c r="S13" i="7"/>
  <c r="T13" i="7"/>
  <c r="U13" i="7"/>
  <c r="V13" i="7"/>
  <c r="O14" i="7"/>
  <c r="P14" i="7"/>
  <c r="Q14" i="7"/>
  <c r="R14" i="7"/>
  <c r="S14" i="7"/>
  <c r="T14" i="7"/>
  <c r="U14" i="7"/>
  <c r="V14" i="7"/>
  <c r="O15" i="7"/>
  <c r="P15" i="7"/>
  <c r="Q15" i="7"/>
  <c r="R15" i="7"/>
  <c r="S15" i="7"/>
  <c r="T15" i="7"/>
  <c r="U15" i="7"/>
  <c r="V15" i="7"/>
  <c r="O16" i="7"/>
  <c r="P16" i="7"/>
  <c r="Q16" i="7"/>
  <c r="R16" i="7"/>
  <c r="S16" i="7"/>
  <c r="T16" i="7"/>
  <c r="U16" i="7"/>
  <c r="V16" i="7"/>
  <c r="O17" i="7"/>
  <c r="P17" i="7"/>
  <c r="Q17" i="7"/>
  <c r="R17" i="7"/>
  <c r="S17" i="7"/>
  <c r="T17" i="7"/>
  <c r="U17" i="7"/>
  <c r="V17" i="7"/>
  <c r="O18" i="7"/>
  <c r="P18" i="7"/>
  <c r="Q18" i="7"/>
  <c r="R18" i="7"/>
  <c r="S18" i="7"/>
  <c r="T18" i="7"/>
  <c r="U18" i="7"/>
  <c r="V18" i="7"/>
  <c r="O19" i="7"/>
  <c r="P19" i="7"/>
  <c r="Q19" i="7"/>
  <c r="R19" i="7"/>
  <c r="S19" i="7"/>
  <c r="T19" i="7"/>
  <c r="U19" i="7"/>
  <c r="V19" i="7"/>
  <c r="O20" i="7"/>
  <c r="P20" i="7"/>
  <c r="Q20" i="7"/>
  <c r="R20" i="7"/>
  <c r="S20" i="7"/>
  <c r="T20" i="7"/>
  <c r="U20" i="7"/>
  <c r="V20" i="7"/>
  <c r="O21" i="7"/>
  <c r="P21" i="7"/>
  <c r="Q21" i="7"/>
  <c r="R21" i="7"/>
  <c r="S21" i="7"/>
  <c r="T21" i="7"/>
  <c r="U21" i="7"/>
  <c r="V21" i="7"/>
  <c r="O22" i="7"/>
  <c r="P22" i="7"/>
  <c r="Q22" i="7"/>
  <c r="R22" i="7"/>
  <c r="S22" i="7"/>
  <c r="T22" i="7"/>
  <c r="U22" i="7"/>
  <c r="V22" i="7"/>
  <c r="O23" i="7"/>
  <c r="P23" i="7"/>
  <c r="Q23" i="7"/>
  <c r="R23" i="7"/>
  <c r="S23" i="7"/>
  <c r="T23" i="7"/>
  <c r="U23" i="7"/>
  <c r="V23" i="7"/>
  <c r="O24" i="7"/>
  <c r="P24" i="7"/>
  <c r="Q24" i="7"/>
  <c r="R24" i="7"/>
  <c r="S24" i="7"/>
  <c r="T24" i="7"/>
  <c r="U24" i="7"/>
  <c r="V24" i="7"/>
  <c r="O25" i="7"/>
  <c r="P25" i="7"/>
  <c r="Q25" i="7"/>
  <c r="R25" i="7"/>
  <c r="S25" i="7"/>
  <c r="T25" i="7"/>
  <c r="U25" i="7"/>
  <c r="V25" i="7"/>
  <c r="O26" i="7"/>
  <c r="P26" i="7"/>
  <c r="Q26" i="7"/>
  <c r="R26" i="7"/>
  <c r="S26" i="7"/>
  <c r="T26" i="7"/>
  <c r="U26" i="7"/>
  <c r="V26" i="7"/>
  <c r="O27" i="7"/>
  <c r="P27" i="7"/>
  <c r="Q27" i="7"/>
  <c r="R27" i="7"/>
  <c r="S27" i="7"/>
  <c r="T27" i="7"/>
  <c r="U27" i="7"/>
  <c r="V27" i="7"/>
  <c r="O28" i="7"/>
  <c r="P28" i="7"/>
  <c r="Q28" i="7"/>
  <c r="R28" i="7"/>
  <c r="S28" i="7"/>
  <c r="T28" i="7"/>
  <c r="U28" i="7"/>
  <c r="V28" i="7"/>
  <c r="O29" i="7"/>
  <c r="P29" i="7"/>
  <c r="Q29" i="7"/>
  <c r="R29" i="7"/>
  <c r="S29" i="7"/>
  <c r="T29" i="7"/>
  <c r="U29" i="7"/>
  <c r="V29" i="7"/>
  <c r="O30" i="7"/>
  <c r="P30" i="7"/>
  <c r="Q30" i="7"/>
  <c r="R30" i="7"/>
  <c r="S30" i="7"/>
  <c r="T30" i="7"/>
  <c r="U30" i="7"/>
  <c r="V30" i="7"/>
  <c r="O31" i="7"/>
  <c r="P31" i="7"/>
  <c r="Q31" i="7"/>
  <c r="R31" i="7"/>
  <c r="S31" i="7"/>
  <c r="T31" i="7"/>
  <c r="U31" i="7"/>
  <c r="V31" i="7"/>
  <c r="O32" i="7"/>
  <c r="P32" i="7"/>
  <c r="R32" i="7"/>
  <c r="S32" i="7"/>
  <c r="T32" i="7"/>
  <c r="U32" i="7"/>
  <c r="V32" i="7"/>
  <c r="O33" i="7"/>
  <c r="P33" i="7"/>
  <c r="Q33" i="7"/>
  <c r="R33" i="7"/>
  <c r="S33" i="7"/>
  <c r="T33" i="7"/>
  <c r="U33" i="7"/>
  <c r="V33" i="7"/>
  <c r="O34" i="7"/>
  <c r="P34" i="7"/>
  <c r="Q34" i="7"/>
  <c r="R34" i="7"/>
  <c r="S34" i="7"/>
  <c r="T34" i="7"/>
  <c r="U34" i="7"/>
  <c r="V34" i="7"/>
  <c r="O35" i="7"/>
  <c r="P35" i="7"/>
  <c r="Q35" i="7"/>
  <c r="R35" i="7"/>
  <c r="S35" i="7"/>
  <c r="T35" i="7"/>
  <c r="U35" i="7"/>
  <c r="V35" i="7"/>
  <c r="O36" i="7"/>
  <c r="P36" i="7"/>
  <c r="Q36" i="7"/>
  <c r="R36" i="7"/>
  <c r="S36" i="7"/>
  <c r="T36" i="7"/>
  <c r="U36" i="7"/>
  <c r="V36" i="7"/>
  <c r="O37" i="7"/>
  <c r="P37" i="7"/>
  <c r="Q37" i="7"/>
  <c r="R37" i="7"/>
  <c r="S37" i="7"/>
  <c r="T37" i="7"/>
  <c r="U37" i="7"/>
  <c r="V37" i="7"/>
  <c r="O38" i="7"/>
  <c r="P38" i="7"/>
  <c r="R38" i="7"/>
  <c r="S38" i="7"/>
  <c r="T38" i="7"/>
  <c r="U38" i="7"/>
  <c r="V38" i="7"/>
  <c r="O39" i="7"/>
  <c r="P39" i="7"/>
  <c r="R39" i="7"/>
  <c r="S39" i="7"/>
  <c r="T39" i="7"/>
  <c r="U39" i="7"/>
  <c r="V39" i="7"/>
  <c r="O40" i="7"/>
  <c r="P40" i="7"/>
  <c r="Q40" i="7"/>
  <c r="R40" i="7"/>
  <c r="S40" i="7"/>
  <c r="T40" i="7"/>
  <c r="U40" i="7"/>
  <c r="V40" i="7"/>
  <c r="O41" i="7"/>
  <c r="P41" i="7"/>
  <c r="Q41" i="7"/>
  <c r="R41" i="7"/>
  <c r="S41" i="7"/>
  <c r="T41" i="7"/>
  <c r="U41" i="7"/>
  <c r="V41" i="7"/>
  <c r="O42" i="7"/>
  <c r="P42" i="7"/>
  <c r="Q42" i="7"/>
  <c r="R42" i="7"/>
  <c r="S42" i="7"/>
  <c r="T42" i="7"/>
  <c r="U42" i="7"/>
  <c r="V42" i="7"/>
  <c r="O43" i="7"/>
  <c r="P43" i="7"/>
  <c r="R43" i="7"/>
  <c r="S43" i="7"/>
  <c r="T43" i="7"/>
  <c r="U43" i="7"/>
  <c r="V43" i="7"/>
  <c r="O44" i="7"/>
  <c r="P44" i="7"/>
  <c r="Q44" i="7"/>
  <c r="R44" i="7"/>
  <c r="S44" i="7"/>
  <c r="T44" i="7"/>
  <c r="U44" i="7"/>
  <c r="V44" i="7"/>
  <c r="O45" i="7"/>
  <c r="P45" i="7"/>
  <c r="R45" i="7"/>
  <c r="S45" i="7"/>
  <c r="T45" i="7"/>
  <c r="U45" i="7"/>
  <c r="V45" i="7"/>
  <c r="O46" i="7"/>
  <c r="P46" i="7"/>
  <c r="Q46" i="7"/>
  <c r="R46" i="7"/>
  <c r="S46" i="7"/>
  <c r="T46" i="7"/>
  <c r="U46" i="7"/>
  <c r="V46" i="7"/>
  <c r="O47" i="7"/>
  <c r="P47" i="7"/>
  <c r="Q47" i="7"/>
  <c r="R47" i="7"/>
  <c r="S47" i="7"/>
  <c r="T47" i="7"/>
  <c r="U47" i="7"/>
  <c r="V47" i="7"/>
  <c r="O48" i="7"/>
  <c r="P48" i="7"/>
  <c r="Q48" i="7"/>
  <c r="R48" i="7"/>
  <c r="S48" i="7"/>
  <c r="T48" i="7"/>
  <c r="U48" i="7"/>
  <c r="V48" i="7"/>
  <c r="O49" i="7"/>
  <c r="P49" i="7"/>
  <c r="Q49" i="7"/>
  <c r="R49" i="7"/>
  <c r="S49" i="7"/>
  <c r="T49" i="7"/>
  <c r="U49" i="7"/>
  <c r="V49" i="7"/>
  <c r="O50" i="7"/>
  <c r="P50" i="7"/>
  <c r="R50" i="7"/>
  <c r="S50" i="7"/>
  <c r="T50" i="7"/>
  <c r="U50" i="7"/>
  <c r="V50" i="7"/>
  <c r="O51" i="7"/>
  <c r="P51" i="7"/>
  <c r="Q51" i="7"/>
  <c r="R51" i="7"/>
  <c r="S51" i="7"/>
  <c r="T51" i="7"/>
  <c r="U51" i="7"/>
  <c r="V51" i="7"/>
  <c r="O52" i="7"/>
  <c r="P52" i="7"/>
  <c r="Q52" i="7"/>
  <c r="R52" i="7"/>
  <c r="S52" i="7"/>
  <c r="T52" i="7"/>
  <c r="U52" i="7"/>
  <c r="V52" i="7"/>
  <c r="O53" i="7"/>
  <c r="P53" i="7"/>
  <c r="Q53" i="7"/>
  <c r="R53" i="7"/>
  <c r="S53" i="7"/>
  <c r="T53" i="7"/>
  <c r="U53" i="7"/>
  <c r="V53" i="7"/>
  <c r="O54" i="7"/>
  <c r="P54" i="7"/>
  <c r="Q54" i="7"/>
  <c r="R54" i="7"/>
  <c r="S54" i="7"/>
  <c r="T54" i="7"/>
  <c r="U54" i="7"/>
  <c r="V54" i="7"/>
  <c r="O55" i="7"/>
  <c r="P55" i="7"/>
  <c r="Q55" i="7"/>
  <c r="R55" i="7"/>
  <c r="S55" i="7"/>
  <c r="T55" i="7"/>
  <c r="U55" i="7"/>
  <c r="V55" i="7"/>
  <c r="O56" i="7"/>
  <c r="P56" i="7"/>
  <c r="Q56" i="7"/>
  <c r="R56" i="7"/>
  <c r="S56" i="7"/>
  <c r="T56" i="7"/>
  <c r="U56" i="7"/>
  <c r="V56" i="7"/>
  <c r="O57" i="7"/>
  <c r="P57" i="7"/>
  <c r="Q57" i="7"/>
  <c r="R57" i="7"/>
  <c r="S57" i="7"/>
  <c r="T57" i="7"/>
  <c r="U57" i="7"/>
  <c r="V57" i="7"/>
  <c r="O58" i="7"/>
  <c r="P58" i="7"/>
  <c r="Q58" i="7"/>
  <c r="R58" i="7"/>
  <c r="S58" i="7"/>
  <c r="T58" i="7"/>
  <c r="U58" i="7"/>
  <c r="V58" i="7"/>
  <c r="O59" i="7"/>
  <c r="P59" i="7"/>
  <c r="Q59" i="7"/>
  <c r="R59" i="7"/>
  <c r="S59" i="7"/>
  <c r="T59" i="7"/>
  <c r="U59" i="7"/>
  <c r="V59" i="7"/>
  <c r="O60" i="7"/>
  <c r="P60" i="7"/>
  <c r="Q60" i="7"/>
  <c r="R60" i="7"/>
  <c r="S60" i="7"/>
  <c r="T60" i="7"/>
  <c r="U60" i="7"/>
  <c r="V60" i="7"/>
  <c r="O61" i="7"/>
  <c r="P61" i="7"/>
  <c r="Q61" i="7"/>
  <c r="R61" i="7"/>
  <c r="S61" i="7"/>
  <c r="T61" i="7"/>
  <c r="U61" i="7"/>
  <c r="V61" i="7"/>
  <c r="O62" i="7"/>
  <c r="P62" i="7"/>
  <c r="Q62" i="7"/>
  <c r="R62" i="7"/>
  <c r="S62" i="7"/>
  <c r="T62" i="7"/>
  <c r="U62" i="7"/>
  <c r="V62" i="7"/>
  <c r="O63" i="7"/>
  <c r="P63" i="7"/>
  <c r="Q63" i="7"/>
  <c r="R63" i="7"/>
  <c r="S63" i="7"/>
  <c r="T63" i="7"/>
  <c r="U63" i="7"/>
  <c r="V63" i="7"/>
  <c r="O64" i="7"/>
  <c r="P64" i="7"/>
  <c r="Q64" i="7"/>
  <c r="R64" i="7"/>
  <c r="S64" i="7"/>
  <c r="T64" i="7"/>
  <c r="U64" i="7"/>
  <c r="V64" i="7"/>
  <c r="O65" i="7"/>
  <c r="P65" i="7"/>
  <c r="Q65" i="7"/>
  <c r="R65" i="7"/>
  <c r="S65" i="7"/>
  <c r="T65" i="7"/>
  <c r="U65" i="7"/>
  <c r="V65" i="7"/>
  <c r="O66" i="7"/>
  <c r="P66" i="7"/>
  <c r="Q66" i="7"/>
  <c r="R66" i="7"/>
  <c r="S66" i="7"/>
  <c r="T66" i="7"/>
  <c r="U66" i="7"/>
  <c r="V66" i="7"/>
  <c r="O67" i="7"/>
  <c r="P67" i="7"/>
  <c r="Q67" i="7"/>
  <c r="R67" i="7"/>
  <c r="S67" i="7"/>
  <c r="T67" i="7"/>
  <c r="U67" i="7"/>
  <c r="V67" i="7"/>
  <c r="O68" i="7"/>
  <c r="P68" i="7"/>
  <c r="Q68" i="7"/>
  <c r="R68" i="7"/>
  <c r="S68" i="7"/>
  <c r="T68" i="7"/>
  <c r="U68" i="7"/>
  <c r="V68" i="7"/>
  <c r="O69" i="7"/>
  <c r="P69" i="7"/>
  <c r="Q69" i="7"/>
  <c r="R69" i="7"/>
  <c r="S69" i="7"/>
  <c r="T69" i="7"/>
  <c r="U69" i="7"/>
  <c r="V69" i="7"/>
  <c r="O70" i="7"/>
  <c r="P70" i="7"/>
  <c r="Q70" i="7"/>
  <c r="R70" i="7"/>
  <c r="S70" i="7"/>
  <c r="T70" i="7"/>
  <c r="U70" i="7"/>
  <c r="V70" i="7"/>
  <c r="O71" i="7"/>
  <c r="P71" i="7"/>
  <c r="Q71" i="7"/>
  <c r="R71" i="7"/>
  <c r="S71" i="7"/>
  <c r="T71" i="7"/>
  <c r="U71" i="7"/>
  <c r="V71" i="7"/>
  <c r="O72" i="7"/>
  <c r="P72" i="7"/>
  <c r="Q72" i="7"/>
  <c r="R72" i="7"/>
  <c r="S72" i="7"/>
  <c r="T72" i="7"/>
  <c r="U72" i="7"/>
  <c r="V72" i="7"/>
  <c r="O73" i="7"/>
  <c r="P73" i="7"/>
  <c r="Q73" i="7"/>
  <c r="R73" i="7"/>
  <c r="S73" i="7"/>
  <c r="T73" i="7"/>
  <c r="U73" i="7"/>
  <c r="V73" i="7"/>
  <c r="O74" i="7"/>
  <c r="P74" i="7"/>
  <c r="Q74" i="7"/>
  <c r="R74" i="7"/>
  <c r="S74" i="7"/>
  <c r="T74" i="7"/>
  <c r="U74" i="7"/>
  <c r="V74" i="7"/>
  <c r="O75" i="7"/>
  <c r="P75" i="7"/>
  <c r="Q75" i="7"/>
  <c r="R75" i="7"/>
  <c r="S75" i="7"/>
  <c r="T75" i="7"/>
  <c r="U75" i="7"/>
  <c r="V75" i="7"/>
  <c r="O76" i="7"/>
  <c r="P76" i="7"/>
  <c r="Q76" i="7"/>
  <c r="R76" i="7"/>
  <c r="S76" i="7"/>
  <c r="T76" i="7"/>
  <c r="U76" i="7"/>
  <c r="V76" i="7"/>
  <c r="O77" i="7"/>
  <c r="P77" i="7"/>
  <c r="Q77" i="7"/>
  <c r="R77" i="7"/>
  <c r="S77" i="7"/>
  <c r="T77" i="7"/>
  <c r="U77" i="7"/>
  <c r="V77" i="7"/>
  <c r="O78" i="7"/>
  <c r="P78" i="7"/>
  <c r="Q78" i="7"/>
  <c r="R78" i="7"/>
  <c r="S78" i="7"/>
  <c r="T78" i="7"/>
  <c r="U78" i="7"/>
  <c r="V78" i="7"/>
  <c r="O79" i="7"/>
  <c r="P79" i="7"/>
  <c r="Q79" i="7"/>
  <c r="R79" i="7"/>
  <c r="S79" i="7"/>
  <c r="T79" i="7"/>
  <c r="U79" i="7"/>
  <c r="V79" i="7"/>
  <c r="O80" i="7"/>
  <c r="P80" i="7"/>
  <c r="Q80" i="7"/>
  <c r="R80" i="7"/>
  <c r="S80" i="7"/>
  <c r="T80" i="7"/>
  <c r="U80" i="7"/>
  <c r="V80" i="7"/>
  <c r="O81" i="7"/>
  <c r="P81" i="7"/>
  <c r="Q81" i="7"/>
  <c r="R81" i="7"/>
  <c r="S81" i="7"/>
  <c r="T81" i="7"/>
  <c r="U81" i="7"/>
  <c r="V81" i="7"/>
  <c r="O82" i="7"/>
  <c r="P82" i="7"/>
  <c r="Q82" i="7"/>
  <c r="R82" i="7"/>
  <c r="S82" i="7"/>
  <c r="T82" i="7"/>
  <c r="U82" i="7"/>
  <c r="V82" i="7"/>
  <c r="O83" i="7"/>
  <c r="P83" i="7"/>
  <c r="Q83" i="7"/>
  <c r="R83" i="7"/>
  <c r="S83" i="7"/>
  <c r="T83" i="7"/>
  <c r="U83" i="7"/>
  <c r="V83" i="7"/>
  <c r="O84" i="7"/>
  <c r="P84" i="7"/>
  <c r="Q84" i="7"/>
  <c r="R84" i="7"/>
  <c r="S84" i="7"/>
  <c r="T84" i="7"/>
  <c r="U84" i="7"/>
  <c r="V84" i="7"/>
  <c r="O85" i="7"/>
  <c r="P85" i="7"/>
  <c r="R85" i="7"/>
  <c r="S85" i="7"/>
  <c r="T85" i="7"/>
  <c r="U85" i="7"/>
  <c r="V85" i="7"/>
  <c r="O86" i="7"/>
  <c r="P86" i="7"/>
  <c r="R86" i="7"/>
  <c r="S86" i="7"/>
  <c r="T86" i="7"/>
  <c r="U86" i="7"/>
  <c r="V86" i="7"/>
  <c r="O87" i="7"/>
  <c r="P87" i="7"/>
  <c r="Q87" i="7"/>
  <c r="R87" i="7"/>
  <c r="S87" i="7"/>
  <c r="T87" i="7"/>
  <c r="U87" i="7"/>
  <c r="V87" i="7"/>
  <c r="O88" i="7"/>
  <c r="P88" i="7"/>
  <c r="Q88" i="7"/>
  <c r="R88" i="7"/>
  <c r="S88" i="7"/>
  <c r="T88" i="7"/>
  <c r="U88" i="7"/>
  <c r="V88" i="7"/>
  <c r="O89" i="7"/>
  <c r="P89" i="7"/>
  <c r="Q89" i="7"/>
  <c r="R89" i="7"/>
  <c r="S89" i="7"/>
  <c r="T89" i="7"/>
  <c r="U89" i="7"/>
  <c r="V89" i="7"/>
  <c r="O90" i="7"/>
  <c r="P90" i="7"/>
  <c r="Q90" i="7"/>
  <c r="R90" i="7"/>
  <c r="S90" i="7"/>
  <c r="T90" i="7"/>
  <c r="U90" i="7"/>
  <c r="V90" i="7"/>
  <c r="O91" i="7"/>
  <c r="P91" i="7"/>
  <c r="Q91" i="7"/>
  <c r="R91" i="7"/>
  <c r="S91" i="7"/>
  <c r="T91" i="7"/>
  <c r="U91" i="7"/>
  <c r="V91" i="7"/>
  <c r="O92" i="7"/>
  <c r="P92" i="7"/>
  <c r="Q92" i="7"/>
  <c r="R92" i="7"/>
  <c r="S92" i="7"/>
  <c r="T92" i="7"/>
  <c r="U92" i="7"/>
  <c r="V92" i="7"/>
  <c r="O93" i="7"/>
  <c r="P93" i="7"/>
  <c r="Q93" i="7"/>
  <c r="R93" i="7"/>
  <c r="S93" i="7"/>
  <c r="T93" i="7"/>
  <c r="U93" i="7"/>
  <c r="V93" i="7"/>
  <c r="O94" i="7"/>
  <c r="P94" i="7"/>
  <c r="Q94" i="7"/>
  <c r="R94" i="7"/>
  <c r="S94" i="7"/>
  <c r="T94" i="7"/>
  <c r="U94" i="7"/>
  <c r="V94" i="7"/>
  <c r="O95" i="7"/>
  <c r="P95" i="7"/>
  <c r="Q95" i="7"/>
  <c r="R95" i="7"/>
  <c r="S95" i="7"/>
  <c r="T95" i="7"/>
  <c r="U95" i="7"/>
  <c r="V95" i="7"/>
  <c r="O96" i="7"/>
  <c r="P96" i="7"/>
  <c r="Q96" i="7"/>
  <c r="R96" i="7"/>
  <c r="S96" i="7"/>
  <c r="T96" i="7"/>
  <c r="U96" i="7"/>
  <c r="V96" i="7"/>
  <c r="E97" i="7"/>
  <c r="H97" i="7"/>
  <c r="K97" i="7"/>
  <c r="M97" i="7"/>
  <c r="N97" i="7"/>
  <c r="Q97" i="7"/>
  <c r="R97" i="7"/>
  <c r="S97" i="7"/>
  <c r="T97" i="7"/>
  <c r="U97" i="7"/>
  <c r="V97" i="7"/>
  <c r="N98" i="7"/>
  <c r="C3" i="13"/>
  <c r="S8" i="13"/>
  <c r="O9" i="13"/>
  <c r="O10" i="13"/>
  <c r="P10" i="13"/>
  <c r="Q10" i="13"/>
  <c r="R10" i="13"/>
  <c r="S10" i="13"/>
  <c r="T10" i="13"/>
  <c r="U10" i="13"/>
  <c r="V10" i="13"/>
  <c r="O11" i="13"/>
  <c r="P11" i="13"/>
  <c r="Q11" i="13"/>
  <c r="R11" i="13"/>
  <c r="S11" i="13"/>
  <c r="T11" i="13"/>
  <c r="U11" i="13"/>
  <c r="V11" i="13"/>
  <c r="O12" i="13"/>
  <c r="P12" i="13"/>
  <c r="Q12" i="13"/>
  <c r="R12" i="13"/>
  <c r="S12" i="13"/>
  <c r="T12" i="13"/>
  <c r="U12" i="13"/>
  <c r="V12" i="13"/>
  <c r="O13" i="13"/>
  <c r="P13" i="13"/>
  <c r="Q13" i="13"/>
  <c r="R13" i="13"/>
  <c r="S13" i="13"/>
  <c r="T13" i="13"/>
  <c r="U13" i="13"/>
  <c r="V13" i="13"/>
  <c r="O14" i="13"/>
  <c r="P14" i="13"/>
  <c r="Q14" i="13"/>
  <c r="R14" i="13"/>
  <c r="S14" i="13"/>
  <c r="T14" i="13"/>
  <c r="U14" i="13"/>
  <c r="V14" i="13"/>
  <c r="O15" i="13"/>
  <c r="P15" i="13"/>
  <c r="Q15" i="13"/>
  <c r="R15" i="13"/>
  <c r="S15" i="13"/>
  <c r="T15" i="13"/>
  <c r="U15" i="13"/>
  <c r="V15" i="13"/>
  <c r="O16" i="13"/>
  <c r="P16" i="13"/>
  <c r="Q16" i="13"/>
  <c r="R16" i="13"/>
  <c r="S16" i="13"/>
  <c r="T16" i="13"/>
  <c r="U16" i="13"/>
  <c r="V16" i="13"/>
  <c r="O17" i="13"/>
  <c r="P17" i="13"/>
  <c r="Q17" i="13"/>
  <c r="R17" i="13"/>
  <c r="S17" i="13"/>
  <c r="T17" i="13"/>
  <c r="U17" i="13"/>
  <c r="V17" i="13"/>
  <c r="O18" i="13"/>
  <c r="P18" i="13"/>
  <c r="Q18" i="13"/>
  <c r="R18" i="13"/>
  <c r="S18" i="13"/>
  <c r="T18" i="13"/>
  <c r="U18" i="13"/>
  <c r="V18" i="13"/>
  <c r="O19" i="13"/>
  <c r="P19" i="13"/>
  <c r="Q19" i="13"/>
  <c r="R19" i="13"/>
  <c r="S19" i="13"/>
  <c r="T19" i="13"/>
  <c r="U19" i="13"/>
  <c r="V19" i="13"/>
  <c r="O20" i="13"/>
  <c r="P20" i="13"/>
  <c r="Q20" i="13"/>
  <c r="R20" i="13"/>
  <c r="S20" i="13"/>
  <c r="T20" i="13"/>
  <c r="U20" i="13"/>
  <c r="V20" i="13"/>
  <c r="O21" i="13"/>
  <c r="P21" i="13"/>
  <c r="Q21" i="13"/>
  <c r="R21" i="13"/>
  <c r="S21" i="13"/>
  <c r="T21" i="13"/>
  <c r="U21" i="13"/>
  <c r="V21" i="13"/>
  <c r="O22" i="13"/>
  <c r="P22" i="13"/>
  <c r="Q22" i="13"/>
  <c r="R22" i="13"/>
  <c r="S22" i="13"/>
  <c r="T22" i="13"/>
  <c r="U22" i="13"/>
  <c r="V22" i="13"/>
  <c r="O23" i="13"/>
  <c r="P23" i="13"/>
  <c r="Q23" i="13"/>
  <c r="R23" i="13"/>
  <c r="S23" i="13"/>
  <c r="T23" i="13"/>
  <c r="U23" i="13"/>
  <c r="V23" i="13"/>
  <c r="O24" i="13"/>
  <c r="P24" i="13"/>
  <c r="Q24" i="13"/>
  <c r="R24" i="13"/>
  <c r="S24" i="13"/>
  <c r="T24" i="13"/>
  <c r="U24" i="13"/>
  <c r="V24" i="13"/>
  <c r="O25" i="13"/>
  <c r="P25" i="13"/>
  <c r="Q25" i="13"/>
  <c r="R25" i="13"/>
  <c r="S25" i="13"/>
  <c r="T25" i="13"/>
  <c r="U25" i="13"/>
  <c r="V25" i="13"/>
  <c r="O26" i="13"/>
  <c r="P26" i="13"/>
  <c r="Q26" i="13"/>
  <c r="R26" i="13"/>
  <c r="S26" i="13"/>
  <c r="T26" i="13"/>
  <c r="U26" i="13"/>
  <c r="V26" i="13"/>
  <c r="O27" i="13"/>
  <c r="P27" i="13"/>
  <c r="Q27" i="13"/>
  <c r="R27" i="13"/>
  <c r="S27" i="13"/>
  <c r="T27" i="13"/>
  <c r="U27" i="13"/>
  <c r="V27" i="13"/>
  <c r="O28" i="13"/>
  <c r="P28" i="13"/>
  <c r="Q28" i="13"/>
  <c r="R28" i="13"/>
  <c r="S28" i="13"/>
  <c r="T28" i="13"/>
  <c r="U28" i="13"/>
  <c r="V28" i="13"/>
  <c r="O29" i="13"/>
  <c r="P29" i="13"/>
  <c r="Q29" i="13"/>
  <c r="R29" i="13"/>
  <c r="S29" i="13"/>
  <c r="T29" i="13"/>
  <c r="U29" i="13"/>
  <c r="V29" i="13"/>
  <c r="O30" i="13"/>
  <c r="P30" i="13"/>
  <c r="Q30" i="13"/>
  <c r="R30" i="13"/>
  <c r="S30" i="13"/>
  <c r="T30" i="13"/>
  <c r="U30" i="13"/>
  <c r="V30" i="13"/>
  <c r="O31" i="13"/>
  <c r="P31" i="13"/>
  <c r="Q31" i="13"/>
  <c r="R31" i="13"/>
  <c r="S31" i="13"/>
  <c r="T31" i="13"/>
  <c r="U31" i="13"/>
  <c r="V31" i="13"/>
  <c r="O32" i="13"/>
  <c r="P32" i="13"/>
  <c r="Q32" i="13"/>
  <c r="R32" i="13"/>
  <c r="S32" i="13"/>
  <c r="T32" i="13"/>
  <c r="U32" i="13"/>
  <c r="V32" i="13"/>
  <c r="O33" i="13"/>
  <c r="P33" i="13"/>
  <c r="Q33" i="13"/>
  <c r="R33" i="13"/>
  <c r="S33" i="13"/>
  <c r="T33" i="13"/>
  <c r="U33" i="13"/>
  <c r="V33" i="13"/>
  <c r="O34" i="13"/>
  <c r="P34" i="13"/>
  <c r="Q34" i="13"/>
  <c r="R34" i="13"/>
  <c r="S34" i="13"/>
  <c r="T34" i="13"/>
  <c r="U34" i="13"/>
  <c r="V34" i="13"/>
  <c r="O35" i="13"/>
  <c r="P35" i="13"/>
  <c r="Q35" i="13"/>
  <c r="R35" i="13"/>
  <c r="S35" i="13"/>
  <c r="T35" i="13"/>
  <c r="U35" i="13"/>
  <c r="V35" i="13"/>
  <c r="O36" i="13"/>
  <c r="P36" i="13"/>
  <c r="Q36" i="13"/>
  <c r="R36" i="13"/>
  <c r="S36" i="13"/>
  <c r="T36" i="13"/>
  <c r="U36" i="13"/>
  <c r="V36" i="13"/>
  <c r="O37" i="13"/>
  <c r="P37" i="13"/>
  <c r="Q37" i="13"/>
  <c r="R37" i="13"/>
  <c r="S37" i="13"/>
  <c r="T37" i="13"/>
  <c r="U37" i="13"/>
  <c r="V37" i="13"/>
  <c r="O38" i="13"/>
  <c r="P38" i="13"/>
  <c r="Q38" i="13"/>
  <c r="R38" i="13"/>
  <c r="S38" i="13"/>
  <c r="T38" i="13"/>
  <c r="U38" i="13"/>
  <c r="V38" i="13"/>
  <c r="O39" i="13"/>
  <c r="P39" i="13"/>
  <c r="Q39" i="13"/>
  <c r="R39" i="13"/>
  <c r="S39" i="13"/>
  <c r="T39" i="13"/>
  <c r="U39" i="13"/>
  <c r="V39" i="13"/>
  <c r="O40" i="13"/>
  <c r="P40" i="13"/>
  <c r="Q40" i="13"/>
  <c r="R40" i="13"/>
  <c r="S40" i="13"/>
  <c r="T40" i="13"/>
  <c r="U40" i="13"/>
  <c r="V40" i="13"/>
  <c r="O41" i="13"/>
  <c r="P41" i="13"/>
  <c r="Q41" i="13"/>
  <c r="R41" i="13"/>
  <c r="S41" i="13"/>
  <c r="T41" i="13"/>
  <c r="U41" i="13"/>
  <c r="V41" i="13"/>
  <c r="O42" i="13"/>
  <c r="P42" i="13"/>
  <c r="Q42" i="13"/>
  <c r="R42" i="13"/>
  <c r="S42" i="13"/>
  <c r="T42" i="13"/>
  <c r="U42" i="13"/>
  <c r="V42" i="13"/>
  <c r="O43" i="13"/>
  <c r="P43" i="13"/>
  <c r="Q43" i="13"/>
  <c r="R43" i="13"/>
  <c r="S43" i="13"/>
  <c r="T43" i="13"/>
  <c r="U43" i="13"/>
  <c r="V43" i="13"/>
  <c r="O44" i="13"/>
  <c r="P44" i="13"/>
  <c r="Q44" i="13"/>
  <c r="R44" i="13"/>
  <c r="S44" i="13"/>
  <c r="T44" i="13"/>
  <c r="U44" i="13"/>
  <c r="V44" i="13"/>
  <c r="O45" i="13"/>
  <c r="P45" i="13"/>
  <c r="Q45" i="13"/>
  <c r="R45" i="13"/>
  <c r="S45" i="13"/>
  <c r="T45" i="13"/>
  <c r="U45" i="13"/>
  <c r="V45" i="13"/>
  <c r="O46" i="13"/>
  <c r="P46" i="13"/>
  <c r="Q46" i="13"/>
  <c r="R46" i="13"/>
  <c r="S46" i="13"/>
  <c r="T46" i="13"/>
  <c r="U46" i="13"/>
  <c r="V46" i="13"/>
  <c r="O47" i="13"/>
  <c r="P47" i="13"/>
  <c r="Q47" i="13"/>
  <c r="R47" i="13"/>
  <c r="S47" i="13"/>
  <c r="T47" i="13"/>
  <c r="U47" i="13"/>
  <c r="V47" i="13"/>
  <c r="O48" i="13"/>
  <c r="P48" i="13"/>
  <c r="Q48" i="13"/>
  <c r="R48" i="13"/>
  <c r="S48" i="13"/>
  <c r="T48" i="13"/>
  <c r="U48" i="13"/>
  <c r="V48" i="13"/>
  <c r="O49" i="13"/>
  <c r="P49" i="13"/>
  <c r="Q49" i="13"/>
  <c r="R49" i="13"/>
  <c r="S49" i="13"/>
  <c r="T49" i="13"/>
  <c r="U49" i="13"/>
  <c r="V49" i="13"/>
  <c r="O50" i="13"/>
  <c r="P50" i="13"/>
  <c r="Q50" i="13"/>
  <c r="R50" i="13"/>
  <c r="S50" i="13"/>
  <c r="T50" i="13"/>
  <c r="U50" i="13"/>
  <c r="V50" i="13"/>
  <c r="O51" i="13"/>
  <c r="P51" i="13"/>
  <c r="Q51" i="13"/>
  <c r="R51" i="13"/>
  <c r="S51" i="13"/>
  <c r="T51" i="13"/>
  <c r="U51" i="13"/>
  <c r="V51" i="13"/>
  <c r="O52" i="13"/>
  <c r="P52" i="13"/>
  <c r="Q52" i="13"/>
  <c r="R52" i="13"/>
  <c r="S52" i="13"/>
  <c r="T52" i="13"/>
  <c r="U52" i="13"/>
  <c r="V52" i="13"/>
  <c r="O53" i="13"/>
  <c r="P53" i="13"/>
  <c r="Q53" i="13"/>
  <c r="R53" i="13"/>
  <c r="S53" i="13"/>
  <c r="T53" i="13"/>
  <c r="U53" i="13"/>
  <c r="V53" i="13"/>
  <c r="O54" i="13"/>
  <c r="P54" i="13"/>
  <c r="Q54" i="13"/>
  <c r="R54" i="13"/>
  <c r="S54" i="13"/>
  <c r="T54" i="13"/>
  <c r="U54" i="13"/>
  <c r="V54" i="13"/>
  <c r="O55" i="13"/>
  <c r="P55" i="13"/>
  <c r="Q55" i="13"/>
  <c r="R55" i="13"/>
  <c r="S55" i="13"/>
  <c r="T55" i="13"/>
  <c r="U55" i="13"/>
  <c r="V55" i="13"/>
  <c r="O56" i="13"/>
  <c r="P56" i="13"/>
  <c r="Q56" i="13"/>
  <c r="R56" i="13"/>
  <c r="S56" i="13"/>
  <c r="T56" i="13"/>
  <c r="U56" i="13"/>
  <c r="V56" i="13"/>
  <c r="O57" i="13"/>
  <c r="P57" i="13"/>
  <c r="Q57" i="13"/>
  <c r="R57" i="13"/>
  <c r="S57" i="13"/>
  <c r="T57" i="13"/>
  <c r="U57" i="13"/>
  <c r="V57" i="13"/>
  <c r="O58" i="13"/>
  <c r="P58" i="13"/>
  <c r="Q58" i="13"/>
  <c r="R58" i="13"/>
  <c r="S58" i="13"/>
  <c r="T58" i="13"/>
  <c r="U58" i="13"/>
  <c r="V58" i="13"/>
  <c r="O59" i="13"/>
  <c r="P59" i="13"/>
  <c r="Q59" i="13"/>
  <c r="R59" i="13"/>
  <c r="S59" i="13"/>
  <c r="T59" i="13"/>
  <c r="U59" i="13"/>
  <c r="V59" i="13"/>
  <c r="O60" i="13"/>
  <c r="P60" i="13"/>
  <c r="Q60" i="13"/>
  <c r="R60" i="13"/>
  <c r="S60" i="13"/>
  <c r="T60" i="13"/>
  <c r="U60" i="13"/>
  <c r="V60" i="13"/>
  <c r="O61" i="13"/>
  <c r="P61" i="13"/>
  <c r="Q61" i="13"/>
  <c r="R61" i="13"/>
  <c r="S61" i="13"/>
  <c r="T61" i="13"/>
  <c r="U61" i="13"/>
  <c r="V61" i="13"/>
  <c r="O62" i="13"/>
  <c r="P62" i="13"/>
  <c r="Q62" i="13"/>
  <c r="R62" i="13"/>
  <c r="S62" i="13"/>
  <c r="T62" i="13"/>
  <c r="U62" i="13"/>
  <c r="V62" i="13"/>
  <c r="O63" i="13"/>
  <c r="P63" i="13"/>
  <c r="Q63" i="13"/>
  <c r="R63" i="13"/>
  <c r="S63" i="13"/>
  <c r="T63" i="13"/>
  <c r="U63" i="13"/>
  <c r="V63" i="13"/>
  <c r="O64" i="13"/>
  <c r="P64" i="13"/>
  <c r="Q64" i="13"/>
  <c r="R64" i="13"/>
  <c r="S64" i="13"/>
  <c r="T64" i="13"/>
  <c r="U64" i="13"/>
  <c r="V64" i="13"/>
  <c r="O65" i="13"/>
  <c r="P65" i="13"/>
  <c r="Q65" i="13"/>
  <c r="R65" i="13"/>
  <c r="S65" i="13"/>
  <c r="T65" i="13"/>
  <c r="U65" i="13"/>
  <c r="V65" i="13"/>
  <c r="O66" i="13"/>
  <c r="P66" i="13"/>
  <c r="Q66" i="13"/>
  <c r="R66" i="13"/>
  <c r="S66" i="13"/>
  <c r="T66" i="13"/>
  <c r="U66" i="13"/>
  <c r="V66" i="13"/>
  <c r="O67" i="13"/>
  <c r="P67" i="13"/>
  <c r="Q67" i="13"/>
  <c r="R67" i="13"/>
  <c r="S67" i="13"/>
  <c r="T67" i="13"/>
  <c r="U67" i="13"/>
  <c r="V67" i="13"/>
  <c r="O68" i="13"/>
  <c r="P68" i="13"/>
  <c r="Q68" i="13"/>
  <c r="R68" i="13"/>
  <c r="S68" i="13"/>
  <c r="T68" i="13"/>
  <c r="U68" i="13"/>
  <c r="V68" i="13"/>
  <c r="O69" i="13"/>
  <c r="P69" i="13"/>
  <c r="Q69" i="13"/>
  <c r="R69" i="13"/>
  <c r="S69" i="13"/>
  <c r="T69" i="13"/>
  <c r="U69" i="13"/>
  <c r="V69" i="13"/>
  <c r="O70" i="13"/>
  <c r="P70" i="13"/>
  <c r="Q70" i="13"/>
  <c r="R70" i="13"/>
  <c r="S70" i="13"/>
  <c r="T70" i="13"/>
  <c r="U70" i="13"/>
  <c r="V70" i="13"/>
  <c r="O71" i="13"/>
  <c r="P71" i="13"/>
  <c r="Q71" i="13"/>
  <c r="R71" i="13"/>
  <c r="S71" i="13"/>
  <c r="T71" i="13"/>
  <c r="U71" i="13"/>
  <c r="V71" i="13"/>
  <c r="O72" i="13"/>
  <c r="P72" i="13"/>
  <c r="Q72" i="13"/>
  <c r="R72" i="13"/>
  <c r="S72" i="13"/>
  <c r="T72" i="13"/>
  <c r="U72" i="13"/>
  <c r="V72" i="13"/>
  <c r="O73" i="13"/>
  <c r="P73" i="13"/>
  <c r="Q73" i="13"/>
  <c r="R73" i="13"/>
  <c r="S73" i="13"/>
  <c r="T73" i="13"/>
  <c r="U73" i="13"/>
  <c r="V73" i="13"/>
  <c r="O74" i="13"/>
  <c r="P74" i="13"/>
  <c r="Q74" i="13"/>
  <c r="R74" i="13"/>
  <c r="S74" i="13"/>
  <c r="T74" i="13"/>
  <c r="U74" i="13"/>
  <c r="V74" i="13"/>
  <c r="O75" i="13"/>
  <c r="P75" i="13"/>
  <c r="Q75" i="13"/>
  <c r="R75" i="13"/>
  <c r="S75" i="13"/>
  <c r="T75" i="13"/>
  <c r="U75" i="13"/>
  <c r="V75" i="13"/>
  <c r="O76" i="13"/>
  <c r="P76" i="13"/>
  <c r="Q76" i="13"/>
  <c r="R76" i="13"/>
  <c r="S76" i="13"/>
  <c r="T76" i="13"/>
  <c r="U76" i="13"/>
  <c r="V76" i="13"/>
  <c r="O77" i="13"/>
  <c r="P77" i="13"/>
  <c r="Q77" i="13"/>
  <c r="R77" i="13"/>
  <c r="S77" i="13"/>
  <c r="T77" i="13"/>
  <c r="U77" i="13"/>
  <c r="V77" i="13"/>
  <c r="O78" i="13"/>
  <c r="P78" i="13"/>
  <c r="Q78" i="13"/>
  <c r="R78" i="13"/>
  <c r="S78" i="13"/>
  <c r="T78" i="13"/>
  <c r="U78" i="13"/>
  <c r="V78" i="13"/>
  <c r="O79" i="13"/>
  <c r="P79" i="13"/>
  <c r="Q79" i="13"/>
  <c r="R79" i="13"/>
  <c r="S79" i="13"/>
  <c r="T79" i="13"/>
  <c r="U79" i="13"/>
  <c r="V79" i="13"/>
  <c r="O80" i="13"/>
  <c r="P80" i="13"/>
  <c r="Q80" i="13"/>
  <c r="R80" i="13"/>
  <c r="S80" i="13"/>
  <c r="T80" i="13"/>
  <c r="U80" i="13"/>
  <c r="V80" i="13"/>
  <c r="O81" i="13"/>
  <c r="P81" i="13"/>
  <c r="Q81" i="13"/>
  <c r="R81" i="13"/>
  <c r="S81" i="13"/>
  <c r="T81" i="13"/>
  <c r="U81" i="13"/>
  <c r="V81" i="13"/>
  <c r="O82" i="13"/>
  <c r="P82" i="13"/>
  <c r="Q82" i="13"/>
  <c r="R82" i="13"/>
  <c r="S82" i="13"/>
  <c r="T82" i="13"/>
  <c r="U82" i="13"/>
  <c r="V82" i="13"/>
  <c r="O83" i="13"/>
  <c r="P83" i="13"/>
  <c r="Q83" i="13"/>
  <c r="R83" i="13"/>
  <c r="S83" i="13"/>
  <c r="T83" i="13"/>
  <c r="U83" i="13"/>
  <c r="V83" i="13"/>
  <c r="O84" i="13"/>
  <c r="P84" i="13"/>
  <c r="Q84" i="13"/>
  <c r="R84" i="13"/>
  <c r="S84" i="13"/>
  <c r="T84" i="13"/>
  <c r="U84" i="13"/>
  <c r="V84" i="13"/>
  <c r="O85" i="13"/>
  <c r="P85" i="13"/>
  <c r="Q85" i="13"/>
  <c r="R85" i="13"/>
  <c r="S85" i="13"/>
  <c r="T85" i="13"/>
  <c r="U85" i="13"/>
  <c r="V85" i="13"/>
  <c r="O86" i="13"/>
  <c r="P86" i="13"/>
  <c r="Q86" i="13"/>
  <c r="R86" i="13"/>
  <c r="S86" i="13"/>
  <c r="T86" i="13"/>
  <c r="U86" i="13"/>
  <c r="V86" i="13"/>
  <c r="E87" i="13"/>
  <c r="H87" i="13"/>
  <c r="K87" i="13"/>
  <c r="M87" i="13"/>
  <c r="N87" i="13"/>
  <c r="Q87" i="13"/>
  <c r="R87" i="13"/>
  <c r="S87" i="13"/>
  <c r="T87" i="13"/>
  <c r="U87" i="13"/>
  <c r="V87" i="13"/>
  <c r="N88" i="13"/>
  <c r="R88" i="13"/>
  <c r="R89" i="13"/>
  <c r="C3" i="11"/>
  <c r="E8" i="11"/>
  <c r="H8" i="11"/>
  <c r="K8" i="11"/>
  <c r="N8" i="11"/>
  <c r="S8" i="11"/>
  <c r="O9" i="11"/>
  <c r="O10" i="11"/>
  <c r="P10" i="11"/>
  <c r="Q10" i="11"/>
  <c r="R10" i="11"/>
  <c r="S10" i="11"/>
  <c r="T10" i="11"/>
  <c r="U10" i="11"/>
  <c r="V10" i="11"/>
  <c r="O11" i="11"/>
  <c r="P11" i="11"/>
  <c r="Q11" i="11"/>
  <c r="R11" i="11"/>
  <c r="S11" i="11"/>
  <c r="T11" i="11"/>
  <c r="U11" i="11"/>
  <c r="V11" i="11"/>
  <c r="O12" i="11"/>
  <c r="P12" i="11"/>
  <c r="Q12" i="11"/>
  <c r="R12" i="11"/>
  <c r="S12" i="11"/>
  <c r="T12" i="11"/>
  <c r="U12" i="11"/>
  <c r="V12" i="11"/>
  <c r="O13" i="11"/>
  <c r="P13" i="11"/>
  <c r="Q13" i="11"/>
  <c r="R13" i="11"/>
  <c r="S13" i="11"/>
  <c r="T13" i="11"/>
  <c r="U13" i="11"/>
  <c r="V13" i="11"/>
  <c r="O14" i="11"/>
  <c r="P14" i="11"/>
  <c r="Q14" i="11"/>
  <c r="R14" i="11"/>
  <c r="S14" i="11"/>
  <c r="T14" i="11"/>
  <c r="U14" i="11"/>
  <c r="V14" i="11"/>
  <c r="O15" i="11"/>
  <c r="P15" i="11"/>
  <c r="Q15" i="11"/>
  <c r="R15" i="11"/>
  <c r="S15" i="11"/>
  <c r="T15" i="11"/>
  <c r="U15" i="11"/>
  <c r="V15" i="11"/>
  <c r="O16" i="11"/>
  <c r="P16" i="11"/>
  <c r="Q16" i="11"/>
  <c r="R16" i="11"/>
  <c r="S16" i="11"/>
  <c r="T16" i="11"/>
  <c r="U16" i="11"/>
  <c r="V16" i="11"/>
  <c r="O17" i="11"/>
  <c r="P17" i="11"/>
  <c r="Q17" i="11"/>
  <c r="R17" i="11"/>
  <c r="S17" i="11"/>
  <c r="T17" i="11"/>
  <c r="U17" i="11"/>
  <c r="V17" i="11"/>
  <c r="O18" i="11"/>
  <c r="P18" i="11"/>
  <c r="Q18" i="11"/>
  <c r="R18" i="11"/>
  <c r="S18" i="11"/>
  <c r="T18" i="11"/>
  <c r="U18" i="11"/>
  <c r="V18" i="11"/>
  <c r="O19" i="11"/>
  <c r="P19" i="11"/>
  <c r="Q19" i="11"/>
  <c r="R19" i="11"/>
  <c r="S19" i="11"/>
  <c r="T19" i="11"/>
  <c r="U19" i="11"/>
  <c r="V19" i="11"/>
  <c r="O20" i="11"/>
  <c r="P20" i="11"/>
  <c r="Q20" i="11"/>
  <c r="R20" i="11"/>
  <c r="S20" i="11"/>
  <c r="T20" i="11"/>
  <c r="U20" i="11"/>
  <c r="V20" i="11"/>
  <c r="O21" i="11"/>
  <c r="P21" i="11"/>
  <c r="Q21" i="11"/>
  <c r="R21" i="11"/>
  <c r="S21" i="11"/>
  <c r="T21" i="11"/>
  <c r="U21" i="11"/>
  <c r="V21" i="11"/>
  <c r="O22" i="11"/>
  <c r="P22" i="11"/>
  <c r="Q22" i="11"/>
  <c r="R22" i="11"/>
  <c r="S22" i="11"/>
  <c r="T22" i="11"/>
  <c r="U22" i="11"/>
  <c r="V22" i="11"/>
  <c r="O23" i="11"/>
  <c r="P23" i="11"/>
  <c r="Q23" i="11"/>
  <c r="R23" i="11"/>
  <c r="S23" i="11"/>
  <c r="T23" i="11"/>
  <c r="U23" i="11"/>
  <c r="V23" i="11"/>
  <c r="O24" i="11"/>
  <c r="P24" i="11"/>
  <c r="Q24" i="11"/>
  <c r="R24" i="11"/>
  <c r="S24" i="11"/>
  <c r="T24" i="11"/>
  <c r="U24" i="11"/>
  <c r="V24" i="11"/>
  <c r="O25" i="11"/>
  <c r="P25" i="11"/>
  <c r="Q25" i="11"/>
  <c r="R25" i="11"/>
  <c r="S25" i="11"/>
  <c r="T25" i="11"/>
  <c r="U25" i="11"/>
  <c r="V25" i="11"/>
  <c r="O26" i="11"/>
  <c r="P26" i="11"/>
  <c r="Q26" i="11"/>
  <c r="R26" i="11"/>
  <c r="S26" i="11"/>
  <c r="T26" i="11"/>
  <c r="U26" i="11"/>
  <c r="V26" i="11"/>
  <c r="O27" i="11"/>
  <c r="P27" i="11"/>
  <c r="Q27" i="11"/>
  <c r="R27" i="11"/>
  <c r="S27" i="11"/>
  <c r="T27" i="11"/>
  <c r="U27" i="11"/>
  <c r="V27" i="11"/>
  <c r="O28" i="11"/>
  <c r="P28" i="11"/>
  <c r="Q28" i="11"/>
  <c r="R28" i="11"/>
  <c r="S28" i="11"/>
  <c r="T28" i="11"/>
  <c r="U28" i="11"/>
  <c r="V28" i="11"/>
  <c r="O29" i="11"/>
  <c r="P29" i="11"/>
  <c r="Q29" i="11"/>
  <c r="R29" i="11"/>
  <c r="S29" i="11"/>
  <c r="T29" i="11"/>
  <c r="U29" i="11"/>
  <c r="V29" i="11"/>
  <c r="O30" i="11"/>
  <c r="P30" i="11"/>
  <c r="Q30" i="11"/>
  <c r="R30" i="11"/>
  <c r="S30" i="11"/>
  <c r="T30" i="11"/>
  <c r="U30" i="11"/>
  <c r="V30" i="11"/>
  <c r="O31" i="11"/>
  <c r="P31" i="11"/>
  <c r="Q31" i="11"/>
  <c r="R31" i="11"/>
  <c r="S31" i="11"/>
  <c r="T31" i="11"/>
  <c r="U31" i="11"/>
  <c r="V31" i="11"/>
  <c r="O32" i="11"/>
  <c r="P32" i="11"/>
  <c r="Q32" i="11"/>
  <c r="R32" i="11"/>
  <c r="S32" i="11"/>
  <c r="T32" i="11"/>
  <c r="U32" i="11"/>
  <c r="V32" i="11"/>
  <c r="O33" i="11"/>
  <c r="P33" i="11"/>
  <c r="R33" i="11"/>
  <c r="S33" i="11"/>
  <c r="T33" i="11"/>
  <c r="U33" i="11"/>
  <c r="V33" i="11"/>
  <c r="O34" i="11"/>
  <c r="P34" i="11"/>
  <c r="Q34" i="11"/>
  <c r="R34" i="11"/>
  <c r="S34" i="11"/>
  <c r="T34" i="11"/>
  <c r="U34" i="11"/>
  <c r="V34" i="11"/>
  <c r="O35" i="11"/>
  <c r="P35" i="11"/>
  <c r="Q35" i="11"/>
  <c r="R35" i="11"/>
  <c r="S35" i="11"/>
  <c r="T35" i="11"/>
  <c r="U35" i="11"/>
  <c r="V35" i="11"/>
  <c r="O36" i="11"/>
  <c r="P36" i="11"/>
  <c r="Q36" i="11"/>
  <c r="R36" i="11"/>
  <c r="S36" i="11"/>
  <c r="T36" i="11"/>
  <c r="U36" i="11"/>
  <c r="V36" i="11"/>
  <c r="O37" i="11"/>
  <c r="P37" i="11"/>
  <c r="Q37" i="11"/>
  <c r="R37" i="11"/>
  <c r="S37" i="11"/>
  <c r="T37" i="11"/>
  <c r="U37" i="11"/>
  <c r="V37" i="11"/>
  <c r="O38" i="11"/>
  <c r="P38" i="11"/>
  <c r="R38" i="11"/>
  <c r="S38" i="11"/>
  <c r="T38" i="11"/>
  <c r="U38" i="11"/>
  <c r="V38" i="11"/>
  <c r="O39" i="11"/>
  <c r="P39" i="11"/>
  <c r="Q39" i="11"/>
  <c r="R39" i="11"/>
  <c r="S39" i="11"/>
  <c r="T39" i="11"/>
  <c r="U39" i="11"/>
  <c r="V39" i="11"/>
  <c r="O40" i="11"/>
  <c r="P40" i="11"/>
  <c r="Q40" i="11"/>
  <c r="R40" i="11"/>
  <c r="S40" i="11"/>
  <c r="T40" i="11"/>
  <c r="U40" i="11"/>
  <c r="V40" i="11"/>
  <c r="O41" i="11"/>
  <c r="P41" i="11"/>
  <c r="Q41" i="11"/>
  <c r="R41" i="11"/>
  <c r="S41" i="11"/>
  <c r="T41" i="11"/>
  <c r="U41" i="11"/>
  <c r="V41" i="11"/>
  <c r="O42" i="11"/>
  <c r="P42" i="11"/>
  <c r="Q42" i="11"/>
  <c r="R42" i="11"/>
  <c r="S42" i="11"/>
  <c r="T42" i="11"/>
  <c r="U42" i="11"/>
  <c r="V42" i="11"/>
  <c r="O43" i="11"/>
  <c r="P43" i="11"/>
  <c r="Q43" i="11"/>
  <c r="R43" i="11"/>
  <c r="S43" i="11"/>
  <c r="T43" i="11"/>
  <c r="U43" i="11"/>
  <c r="V43" i="11"/>
  <c r="O44" i="11"/>
  <c r="P44" i="11"/>
  <c r="R44" i="11"/>
  <c r="S44" i="11"/>
  <c r="T44" i="11"/>
  <c r="U44" i="11"/>
  <c r="V44" i="11"/>
  <c r="O45" i="11"/>
  <c r="P45" i="11"/>
  <c r="Q45" i="11"/>
  <c r="R45" i="11"/>
  <c r="S45" i="11"/>
  <c r="T45" i="11"/>
  <c r="U45" i="11"/>
  <c r="V45" i="11"/>
  <c r="O46" i="11"/>
  <c r="P46" i="11"/>
  <c r="Q46" i="11"/>
  <c r="R46" i="11"/>
  <c r="S46" i="11"/>
  <c r="T46" i="11"/>
  <c r="U46" i="11"/>
  <c r="V46" i="11"/>
  <c r="O47" i="11"/>
  <c r="P47" i="11"/>
  <c r="Q47" i="11"/>
  <c r="R47" i="11"/>
  <c r="S47" i="11"/>
  <c r="T47" i="11"/>
  <c r="U47" i="11"/>
  <c r="V47" i="11"/>
  <c r="O48" i="11"/>
  <c r="P48" i="11"/>
  <c r="Q48" i="11"/>
  <c r="R48" i="11"/>
  <c r="S48" i="11"/>
  <c r="T48" i="11"/>
  <c r="U48" i="11"/>
  <c r="V48" i="11"/>
  <c r="O49" i="11"/>
  <c r="P49" i="11"/>
  <c r="R49" i="11"/>
  <c r="S49" i="11"/>
  <c r="T49" i="11"/>
  <c r="U49" i="11"/>
  <c r="V49" i="11"/>
  <c r="O50" i="11"/>
  <c r="P50" i="11"/>
  <c r="R50" i="11"/>
  <c r="S50" i="11"/>
  <c r="T50" i="11"/>
  <c r="U50" i="11"/>
  <c r="V50" i="11"/>
  <c r="O51" i="11"/>
  <c r="P51" i="11"/>
  <c r="Q51" i="11"/>
  <c r="R51" i="11"/>
  <c r="S51" i="11"/>
  <c r="T51" i="11"/>
  <c r="U51" i="11"/>
  <c r="V51" i="11"/>
  <c r="O52" i="11"/>
  <c r="P52" i="11"/>
  <c r="Q52" i="11"/>
  <c r="R52" i="11"/>
  <c r="S52" i="11"/>
  <c r="T52" i="11"/>
  <c r="U52" i="11"/>
  <c r="V52" i="11"/>
  <c r="O53" i="11"/>
  <c r="P53" i="11"/>
  <c r="Q53" i="11"/>
  <c r="R53" i="11"/>
  <c r="S53" i="11"/>
  <c r="T53" i="11"/>
  <c r="U53" i="11"/>
  <c r="V53" i="11"/>
  <c r="O54" i="11"/>
  <c r="P54" i="11"/>
  <c r="Q54" i="11"/>
  <c r="R54" i="11"/>
  <c r="S54" i="11"/>
  <c r="T54" i="11"/>
  <c r="U54" i="11"/>
  <c r="V54" i="11"/>
  <c r="O55" i="11"/>
  <c r="P55" i="11"/>
  <c r="Q55" i="11"/>
  <c r="R55" i="11"/>
  <c r="S55" i="11"/>
  <c r="T55" i="11"/>
  <c r="U55" i="11"/>
  <c r="V55" i="11"/>
  <c r="O56" i="11"/>
  <c r="P56" i="11"/>
  <c r="Q56" i="11"/>
  <c r="R56" i="11"/>
  <c r="S56" i="11"/>
  <c r="T56" i="11"/>
  <c r="U56" i="11"/>
  <c r="V56" i="11"/>
  <c r="O57" i="11"/>
  <c r="P57" i="11"/>
  <c r="Q57" i="11"/>
  <c r="R57" i="11"/>
  <c r="S57" i="11"/>
  <c r="U57" i="11"/>
  <c r="O58" i="11"/>
  <c r="P58" i="11"/>
  <c r="Q58" i="11"/>
  <c r="R58" i="11"/>
  <c r="S58" i="11"/>
  <c r="T58" i="11"/>
  <c r="U58" i="11"/>
  <c r="V58" i="11"/>
  <c r="O59" i="11"/>
  <c r="P59" i="11"/>
  <c r="Q59" i="11"/>
  <c r="R59" i="11"/>
  <c r="S59" i="11"/>
  <c r="T59" i="11"/>
  <c r="U59" i="11"/>
  <c r="V59" i="11"/>
  <c r="O60" i="11"/>
  <c r="P60" i="11"/>
  <c r="Q60" i="11"/>
  <c r="R60" i="11"/>
  <c r="S60" i="11"/>
  <c r="T60" i="11"/>
  <c r="U60" i="11"/>
  <c r="V60" i="11"/>
  <c r="O61" i="11"/>
  <c r="P61" i="11"/>
  <c r="Q61" i="11"/>
  <c r="R61" i="11"/>
  <c r="S61" i="11"/>
  <c r="T61" i="11"/>
  <c r="U61" i="11"/>
  <c r="V61" i="11"/>
  <c r="O62" i="11"/>
  <c r="P62" i="11"/>
  <c r="Q62" i="11"/>
  <c r="R62" i="11"/>
  <c r="S62" i="11"/>
  <c r="T62" i="11"/>
  <c r="U62" i="11"/>
  <c r="V62" i="11"/>
  <c r="O63" i="11"/>
  <c r="P63" i="11"/>
  <c r="Q63" i="11"/>
  <c r="R63" i="11"/>
  <c r="S63" i="11"/>
  <c r="T63" i="11"/>
  <c r="U63" i="11"/>
  <c r="V63" i="11"/>
  <c r="O64" i="11"/>
  <c r="P64" i="11"/>
  <c r="Q64" i="11"/>
  <c r="R64" i="11"/>
  <c r="S64" i="11"/>
  <c r="T64" i="11"/>
  <c r="U64" i="11"/>
  <c r="V64" i="11"/>
  <c r="O65" i="11"/>
  <c r="P65" i="11"/>
  <c r="Q65" i="11"/>
  <c r="R65" i="11"/>
  <c r="S65" i="11"/>
  <c r="T65" i="11"/>
  <c r="U65" i="11"/>
  <c r="V65" i="11"/>
  <c r="O66" i="11"/>
  <c r="P66" i="11"/>
  <c r="Q66" i="11"/>
  <c r="R66" i="11"/>
  <c r="S66" i="11"/>
  <c r="T66" i="11"/>
  <c r="U66" i="11"/>
  <c r="V66" i="11"/>
  <c r="O67" i="11"/>
  <c r="P67" i="11"/>
  <c r="Q67" i="11"/>
  <c r="R67" i="11"/>
  <c r="S67" i="11"/>
  <c r="T67" i="11"/>
  <c r="U67" i="11"/>
  <c r="V67" i="11"/>
  <c r="O68" i="11"/>
  <c r="P68" i="11"/>
  <c r="Q68" i="11"/>
  <c r="R68" i="11"/>
  <c r="S68" i="11"/>
  <c r="T68" i="11"/>
  <c r="U68" i="11"/>
  <c r="V68" i="11"/>
  <c r="O69" i="11"/>
  <c r="P69" i="11"/>
  <c r="Q69" i="11"/>
  <c r="R69" i="11"/>
  <c r="S69" i="11"/>
  <c r="T69" i="11"/>
  <c r="U69" i="11"/>
  <c r="V69" i="11"/>
  <c r="O70" i="11"/>
  <c r="P70" i="11"/>
  <c r="Q70" i="11"/>
  <c r="R70" i="11"/>
  <c r="S70" i="11"/>
  <c r="T70" i="11"/>
  <c r="U70" i="11"/>
  <c r="V70" i="11"/>
  <c r="O71" i="11"/>
  <c r="P71" i="11"/>
  <c r="Q71" i="11"/>
  <c r="R71" i="11"/>
  <c r="S71" i="11"/>
  <c r="T71" i="11"/>
  <c r="U71" i="11"/>
  <c r="V71" i="11"/>
  <c r="O72" i="11"/>
  <c r="P72" i="11"/>
  <c r="Q72" i="11"/>
  <c r="R72" i="11"/>
  <c r="S72" i="11"/>
  <c r="T72" i="11"/>
  <c r="U72" i="11"/>
  <c r="V72" i="11"/>
  <c r="O73" i="11"/>
  <c r="P73" i="11"/>
  <c r="Q73" i="11"/>
  <c r="R73" i="11"/>
  <c r="S73" i="11"/>
  <c r="T73" i="11"/>
  <c r="U73" i="11"/>
  <c r="V73" i="11"/>
  <c r="O74" i="11"/>
  <c r="P74" i="11"/>
  <c r="Q74" i="11"/>
  <c r="R74" i="11"/>
  <c r="S74" i="11"/>
  <c r="T74" i="11"/>
  <c r="U74" i="11"/>
  <c r="V74" i="11"/>
  <c r="O75" i="11"/>
  <c r="P75" i="11"/>
  <c r="Q75" i="11"/>
  <c r="R75" i="11"/>
  <c r="S75" i="11"/>
  <c r="T75" i="11"/>
  <c r="U75" i="11"/>
  <c r="V75" i="11"/>
  <c r="O76" i="11"/>
  <c r="P76" i="11"/>
  <c r="Q76" i="11"/>
  <c r="R76" i="11"/>
  <c r="S76" i="11"/>
  <c r="T76" i="11"/>
  <c r="U76" i="11"/>
  <c r="V76" i="11"/>
  <c r="O77" i="11"/>
  <c r="P77" i="11"/>
  <c r="Q77" i="11"/>
  <c r="R77" i="11"/>
  <c r="S77" i="11"/>
  <c r="T77" i="11"/>
  <c r="U77" i="11"/>
  <c r="V77" i="11"/>
  <c r="O78" i="11"/>
  <c r="P78" i="11"/>
  <c r="Q78" i="11"/>
  <c r="R78" i="11"/>
  <c r="S78" i="11"/>
  <c r="T78" i="11"/>
  <c r="U78" i="11"/>
  <c r="V78" i="11"/>
  <c r="O79" i="11"/>
  <c r="P79" i="11"/>
  <c r="Q79" i="11"/>
  <c r="R79" i="11"/>
  <c r="S79" i="11"/>
  <c r="T79" i="11"/>
  <c r="U79" i="11"/>
  <c r="V79" i="11"/>
  <c r="O80" i="11"/>
  <c r="P80" i="11"/>
  <c r="Q80" i="11"/>
  <c r="R80" i="11"/>
  <c r="S80" i="11"/>
  <c r="T80" i="11"/>
  <c r="U80" i="11"/>
  <c r="V80" i="11"/>
  <c r="O81" i="11"/>
  <c r="P81" i="11"/>
  <c r="Q81" i="11"/>
  <c r="R81" i="11"/>
  <c r="S81" i="11"/>
  <c r="T81" i="11"/>
  <c r="U81" i="11"/>
  <c r="V81" i="11"/>
  <c r="O82" i="11"/>
  <c r="P82" i="11"/>
  <c r="Q82" i="11"/>
  <c r="R82" i="11"/>
  <c r="S82" i="11"/>
  <c r="T82" i="11"/>
  <c r="U82" i="11"/>
  <c r="V82" i="11"/>
  <c r="O83" i="11"/>
  <c r="P83" i="11"/>
  <c r="Q83" i="11"/>
  <c r="R83" i="11"/>
  <c r="S83" i="11"/>
  <c r="T83" i="11"/>
  <c r="U83" i="11"/>
  <c r="V83" i="11"/>
  <c r="O84" i="11"/>
  <c r="P84" i="11"/>
  <c r="Q84" i="11"/>
  <c r="R84" i="11"/>
  <c r="S84" i="11"/>
  <c r="T84" i="11"/>
  <c r="U84" i="11"/>
  <c r="V84" i="11"/>
  <c r="O85" i="11"/>
  <c r="P85" i="11"/>
  <c r="Q85" i="11"/>
  <c r="R85" i="11"/>
  <c r="S85" i="11"/>
  <c r="T85" i="11"/>
  <c r="U85" i="11"/>
  <c r="V85" i="11"/>
  <c r="O86" i="11"/>
  <c r="P86" i="11"/>
  <c r="Q86" i="11"/>
  <c r="R86" i="11"/>
  <c r="S86" i="11"/>
  <c r="T86" i="11"/>
  <c r="U86" i="11"/>
  <c r="V86" i="11"/>
  <c r="O87" i="11"/>
  <c r="P87" i="11"/>
  <c r="Q87" i="11"/>
  <c r="R87" i="11"/>
  <c r="S87" i="11"/>
  <c r="T87" i="11"/>
  <c r="U87" i="11"/>
  <c r="V87" i="11"/>
  <c r="O88" i="11"/>
  <c r="P88" i="11"/>
  <c r="Q88" i="11"/>
  <c r="R88" i="11"/>
  <c r="S88" i="11"/>
  <c r="T88" i="11"/>
  <c r="U88" i="11"/>
  <c r="V88" i="11"/>
  <c r="O89" i="11"/>
  <c r="P89" i="11"/>
  <c r="Q89" i="11"/>
  <c r="R89" i="11"/>
  <c r="S89" i="11"/>
  <c r="T89" i="11"/>
  <c r="U89" i="11"/>
  <c r="V89" i="11"/>
  <c r="E90" i="11"/>
  <c r="H90" i="11"/>
  <c r="K90" i="11"/>
  <c r="M90" i="11"/>
  <c r="N90" i="11"/>
  <c r="Q90" i="11"/>
  <c r="R90" i="11"/>
  <c r="S90" i="11"/>
  <c r="T90" i="11"/>
  <c r="U90" i="11"/>
  <c r="V90" i="11"/>
  <c r="N91" i="11"/>
  <c r="S91" i="11"/>
  <c r="V91" i="11"/>
  <c r="S92" i="11"/>
  <c r="V92" i="11"/>
  <c r="C3" i="12"/>
  <c r="E8" i="12"/>
  <c r="H8" i="12"/>
  <c r="K8" i="12"/>
  <c r="N8" i="12"/>
  <c r="S8" i="12"/>
  <c r="O9" i="12"/>
  <c r="O10" i="12"/>
  <c r="P10" i="12"/>
  <c r="Q10" i="12"/>
  <c r="R10" i="12"/>
  <c r="S10" i="12"/>
  <c r="T10" i="12"/>
  <c r="U10" i="12"/>
  <c r="V10" i="12"/>
  <c r="O11" i="12"/>
  <c r="P11" i="12"/>
  <c r="Q11" i="12"/>
  <c r="R11" i="12"/>
  <c r="S11" i="12"/>
  <c r="T11" i="12"/>
  <c r="U11" i="12"/>
  <c r="V11" i="12"/>
  <c r="O12" i="12"/>
  <c r="P12" i="12"/>
  <c r="Q12" i="12"/>
  <c r="R12" i="12"/>
  <c r="S12" i="12"/>
  <c r="T12" i="12"/>
  <c r="U12" i="12"/>
  <c r="V12" i="12"/>
  <c r="O13" i="12"/>
  <c r="P13" i="12"/>
  <c r="Q13" i="12"/>
  <c r="R13" i="12"/>
  <c r="S13" i="12"/>
  <c r="T13" i="12"/>
  <c r="U13" i="12"/>
  <c r="V13" i="12"/>
  <c r="O14" i="12"/>
  <c r="P14" i="12"/>
  <c r="Q14" i="12"/>
  <c r="R14" i="12"/>
  <c r="S14" i="12"/>
  <c r="T14" i="12"/>
  <c r="U14" i="12"/>
  <c r="V14" i="12"/>
  <c r="O15" i="12"/>
  <c r="P15" i="12"/>
  <c r="Q15" i="12"/>
  <c r="R15" i="12"/>
  <c r="S15" i="12"/>
  <c r="T15" i="12"/>
  <c r="U15" i="12"/>
  <c r="V15" i="12"/>
  <c r="O16" i="12"/>
  <c r="P16" i="12"/>
  <c r="Q16" i="12"/>
  <c r="R16" i="12"/>
  <c r="S16" i="12"/>
  <c r="T16" i="12"/>
  <c r="U16" i="12"/>
  <c r="V16" i="12"/>
  <c r="O17" i="12"/>
  <c r="P17" i="12"/>
  <c r="Q17" i="12"/>
  <c r="R17" i="12"/>
  <c r="S17" i="12"/>
  <c r="T17" i="12"/>
  <c r="U17" i="12"/>
  <c r="V17" i="12"/>
  <c r="O18" i="12"/>
  <c r="P18" i="12"/>
  <c r="Q18" i="12"/>
  <c r="R18" i="12"/>
  <c r="S18" i="12"/>
  <c r="T18" i="12"/>
  <c r="U18" i="12"/>
  <c r="V18" i="12"/>
  <c r="O19" i="12"/>
  <c r="P19" i="12"/>
  <c r="Q19" i="12"/>
  <c r="R19" i="12"/>
  <c r="S19" i="12"/>
  <c r="T19" i="12"/>
  <c r="U19" i="12"/>
  <c r="V19" i="12"/>
  <c r="O20" i="12"/>
  <c r="P20" i="12"/>
  <c r="Q20" i="12"/>
  <c r="R20" i="12"/>
  <c r="S20" i="12"/>
  <c r="T20" i="12"/>
  <c r="U20" i="12"/>
  <c r="V20" i="12"/>
  <c r="O21" i="12"/>
  <c r="P21" i="12"/>
  <c r="Q21" i="12"/>
  <c r="R21" i="12"/>
  <c r="S21" i="12"/>
  <c r="T21" i="12"/>
  <c r="U21" i="12"/>
  <c r="V21" i="12"/>
  <c r="O22" i="12"/>
  <c r="P22" i="12"/>
  <c r="Q22" i="12"/>
  <c r="R22" i="12"/>
  <c r="S22" i="12"/>
  <c r="T22" i="12"/>
  <c r="U22" i="12"/>
  <c r="V22" i="12"/>
  <c r="O23" i="12"/>
  <c r="P23" i="12"/>
  <c r="Q23" i="12"/>
  <c r="R23" i="12"/>
  <c r="S23" i="12"/>
  <c r="T23" i="12"/>
  <c r="U23" i="12"/>
  <c r="V23" i="12"/>
  <c r="O24" i="12"/>
  <c r="P24" i="12"/>
  <c r="Q24" i="12"/>
  <c r="R24" i="12"/>
  <c r="S24" i="12"/>
  <c r="T24" i="12"/>
  <c r="U24" i="12"/>
  <c r="V24" i="12"/>
  <c r="O25" i="12"/>
  <c r="P25" i="12"/>
  <c r="Q25" i="12"/>
  <c r="R25" i="12"/>
  <c r="S25" i="12"/>
  <c r="T25" i="12"/>
  <c r="U25" i="12"/>
  <c r="V25" i="12"/>
  <c r="O26" i="12"/>
  <c r="P26" i="12"/>
  <c r="Q26" i="12"/>
  <c r="R26" i="12"/>
  <c r="S26" i="12"/>
  <c r="T26" i="12"/>
  <c r="U26" i="12"/>
  <c r="V26" i="12"/>
  <c r="O27" i="12"/>
  <c r="P27" i="12"/>
  <c r="R27" i="12"/>
  <c r="S27" i="12"/>
  <c r="T27" i="12"/>
  <c r="U27" i="12"/>
  <c r="V27" i="12"/>
  <c r="O28" i="12"/>
  <c r="P28" i="12"/>
  <c r="R28" i="12"/>
  <c r="S28" i="12"/>
  <c r="T28" i="12"/>
  <c r="U28" i="12"/>
  <c r="V28" i="12"/>
  <c r="O29" i="12"/>
  <c r="P29" i="12"/>
  <c r="R29" i="12"/>
  <c r="S29" i="12"/>
  <c r="T29" i="12"/>
  <c r="U29" i="12"/>
  <c r="V29" i="12"/>
  <c r="O30" i="12"/>
  <c r="P30" i="12"/>
  <c r="R30" i="12"/>
  <c r="S30" i="12"/>
  <c r="T30" i="12"/>
  <c r="U30" i="12"/>
  <c r="V30" i="12"/>
  <c r="O31" i="12"/>
  <c r="P31" i="12"/>
  <c r="R31" i="12"/>
  <c r="S31" i="12"/>
  <c r="T31" i="12"/>
  <c r="U31" i="12"/>
  <c r="V31" i="12"/>
  <c r="O32" i="12"/>
  <c r="P32" i="12"/>
  <c r="R32" i="12"/>
  <c r="S32" i="12"/>
  <c r="T32" i="12"/>
  <c r="U32" i="12"/>
  <c r="V32" i="12"/>
  <c r="O33" i="12"/>
  <c r="P33" i="12"/>
  <c r="Q33" i="12"/>
  <c r="R33" i="12"/>
  <c r="S33" i="12"/>
  <c r="T33" i="12"/>
  <c r="U33" i="12"/>
  <c r="V33" i="12"/>
  <c r="O34" i="12"/>
  <c r="P34" i="12"/>
  <c r="Q34" i="12"/>
  <c r="R34" i="12"/>
  <c r="S34" i="12"/>
  <c r="T34" i="12"/>
  <c r="U34" i="12"/>
  <c r="V34" i="12"/>
  <c r="O35" i="12"/>
  <c r="P35" i="12"/>
  <c r="Q35" i="12"/>
  <c r="R35" i="12"/>
  <c r="S35" i="12"/>
  <c r="T35" i="12"/>
  <c r="U35" i="12"/>
  <c r="V35" i="12"/>
  <c r="O36" i="12"/>
  <c r="P36" i="12"/>
  <c r="Q36" i="12"/>
  <c r="R36" i="12"/>
  <c r="S36" i="12"/>
  <c r="T36" i="12"/>
  <c r="U36" i="12"/>
  <c r="V36" i="12"/>
  <c r="O37" i="12"/>
  <c r="P37" i="12"/>
  <c r="Q37" i="12"/>
  <c r="R37" i="12"/>
  <c r="S37" i="12"/>
  <c r="T37" i="12"/>
  <c r="U37" i="12"/>
  <c r="V37" i="12"/>
  <c r="O38" i="12"/>
  <c r="P38" i="12"/>
  <c r="Q38" i="12"/>
  <c r="R38" i="12"/>
  <c r="S38" i="12"/>
  <c r="T38" i="12"/>
  <c r="U38" i="12"/>
  <c r="V38" i="12"/>
  <c r="O39" i="12"/>
  <c r="P39" i="12"/>
  <c r="Q39" i="12"/>
  <c r="R39" i="12"/>
  <c r="S39" i="12"/>
  <c r="T39" i="12"/>
  <c r="U39" i="12"/>
  <c r="V39" i="12"/>
  <c r="O40" i="12"/>
  <c r="P40" i="12"/>
  <c r="R40" i="12"/>
  <c r="S40" i="12"/>
  <c r="T40" i="12"/>
  <c r="U40" i="12"/>
  <c r="V40" i="12"/>
  <c r="O41" i="12"/>
  <c r="P41" i="12"/>
  <c r="Q41" i="12"/>
  <c r="R41" i="12"/>
  <c r="S41" i="12"/>
  <c r="T41" i="12"/>
  <c r="U41" i="12"/>
  <c r="V41" i="12"/>
  <c r="O42" i="12"/>
  <c r="P42" i="12"/>
  <c r="Q42" i="12"/>
  <c r="R42" i="12"/>
  <c r="S42" i="12"/>
  <c r="T42" i="12"/>
  <c r="U42" i="12"/>
  <c r="V42" i="12"/>
  <c r="O43" i="12"/>
  <c r="P43" i="12"/>
  <c r="R43" i="12"/>
  <c r="S43" i="12"/>
  <c r="T43" i="12"/>
  <c r="U43" i="12"/>
  <c r="V43" i="12"/>
  <c r="O44" i="12"/>
  <c r="P44" i="12"/>
  <c r="Q44" i="12"/>
  <c r="R44" i="12"/>
  <c r="S44" i="12"/>
  <c r="T44" i="12"/>
  <c r="U44" i="12"/>
  <c r="V44" i="12"/>
  <c r="O45" i="12"/>
  <c r="P45" i="12"/>
  <c r="Q45" i="12"/>
  <c r="R45" i="12"/>
  <c r="S45" i="12"/>
  <c r="T45" i="12"/>
  <c r="U45" i="12"/>
  <c r="V45" i="12"/>
  <c r="O46" i="12"/>
  <c r="P46" i="12"/>
  <c r="Q46" i="12"/>
  <c r="R46" i="12"/>
  <c r="S46" i="12"/>
  <c r="T46" i="12"/>
  <c r="U46" i="12"/>
  <c r="V46" i="12"/>
  <c r="O47" i="12"/>
  <c r="P47" i="12"/>
  <c r="Q47" i="12"/>
  <c r="R47" i="12"/>
  <c r="S47" i="12"/>
  <c r="T47" i="12"/>
  <c r="U47" i="12"/>
  <c r="V47" i="12"/>
  <c r="O48" i="12"/>
  <c r="P48" i="12"/>
  <c r="Q48" i="12"/>
  <c r="R48" i="12"/>
  <c r="S48" i="12"/>
  <c r="T48" i="12"/>
  <c r="U48" i="12"/>
  <c r="V48" i="12"/>
  <c r="O49" i="12"/>
  <c r="P49" i="12"/>
  <c r="Q49" i="12"/>
  <c r="R49" i="12"/>
  <c r="S49" i="12"/>
  <c r="T49" i="12"/>
  <c r="U49" i="12"/>
  <c r="V49" i="12"/>
  <c r="O50" i="12"/>
  <c r="P50" i="12"/>
  <c r="Q50" i="12"/>
  <c r="R50" i="12"/>
  <c r="S50" i="12"/>
  <c r="T50" i="12"/>
  <c r="U50" i="12"/>
  <c r="V50" i="12"/>
  <c r="O51" i="12"/>
  <c r="P51" i="12"/>
  <c r="Q51" i="12"/>
  <c r="R51" i="12"/>
  <c r="S51" i="12"/>
  <c r="T51" i="12"/>
  <c r="U51" i="12"/>
  <c r="V51" i="12"/>
  <c r="O52" i="12"/>
  <c r="P52" i="12"/>
  <c r="Q52" i="12"/>
  <c r="R52" i="12"/>
  <c r="S52" i="12"/>
  <c r="T52" i="12"/>
  <c r="U52" i="12"/>
  <c r="V52" i="12"/>
  <c r="O53" i="12"/>
  <c r="P53" i="12"/>
  <c r="Q53" i="12"/>
  <c r="R53" i="12"/>
  <c r="S53" i="12"/>
  <c r="T53" i="12"/>
  <c r="U53" i="12"/>
  <c r="V53" i="12"/>
  <c r="O54" i="12"/>
  <c r="P54" i="12"/>
  <c r="Q54" i="12"/>
  <c r="R54" i="12"/>
  <c r="S54" i="12"/>
  <c r="T54" i="12"/>
  <c r="U54" i="12"/>
  <c r="V54" i="12"/>
  <c r="O55" i="12"/>
  <c r="P55" i="12"/>
  <c r="Q55" i="12"/>
  <c r="R55" i="12"/>
  <c r="S55" i="12"/>
  <c r="T55" i="12"/>
  <c r="U55" i="12"/>
  <c r="V55" i="12"/>
  <c r="O56" i="12"/>
  <c r="P56" i="12"/>
  <c r="Q56" i="12"/>
  <c r="R56" i="12"/>
  <c r="S56" i="12"/>
  <c r="T56" i="12"/>
  <c r="U56" i="12"/>
  <c r="V56" i="12"/>
  <c r="O57" i="12"/>
  <c r="P57" i="12"/>
  <c r="Q57" i="12"/>
  <c r="R57" i="12"/>
  <c r="S57" i="12"/>
  <c r="T57" i="12"/>
  <c r="U57" i="12"/>
  <c r="V57" i="12"/>
  <c r="O58" i="12"/>
  <c r="P58" i="12"/>
  <c r="Q58" i="12"/>
  <c r="R58" i="12"/>
  <c r="S58" i="12"/>
  <c r="T58" i="12"/>
  <c r="U58" i="12"/>
  <c r="V58" i="12"/>
  <c r="O59" i="12"/>
  <c r="P59" i="12"/>
  <c r="Q59" i="12"/>
  <c r="R59" i="12"/>
  <c r="S59" i="12"/>
  <c r="T59" i="12"/>
  <c r="U59" i="12"/>
  <c r="V59" i="12"/>
  <c r="O60" i="12"/>
  <c r="P60" i="12"/>
  <c r="Q60" i="12"/>
  <c r="R60" i="12"/>
  <c r="S60" i="12"/>
  <c r="T60" i="12"/>
  <c r="U60" i="12"/>
  <c r="V60" i="12"/>
  <c r="O61" i="12"/>
  <c r="P61" i="12"/>
  <c r="Q61" i="12"/>
  <c r="R61" i="12"/>
  <c r="S61" i="12"/>
  <c r="T61" i="12"/>
  <c r="U61" i="12"/>
  <c r="V61" i="12"/>
  <c r="O62" i="12"/>
  <c r="P62" i="12"/>
  <c r="Q62" i="12"/>
  <c r="R62" i="12"/>
  <c r="S62" i="12"/>
  <c r="T62" i="12"/>
  <c r="U62" i="12"/>
  <c r="V62" i="12"/>
  <c r="O63" i="12"/>
  <c r="P63" i="12"/>
  <c r="Q63" i="12"/>
  <c r="R63" i="12"/>
  <c r="S63" i="12"/>
  <c r="T63" i="12"/>
  <c r="U63" i="12"/>
  <c r="V63" i="12"/>
  <c r="O64" i="12"/>
  <c r="P64" i="12"/>
  <c r="Q64" i="12"/>
  <c r="R64" i="12"/>
  <c r="S64" i="12"/>
  <c r="T64" i="12"/>
  <c r="U64" i="12"/>
  <c r="V64" i="12"/>
  <c r="O65" i="12"/>
  <c r="P65" i="12"/>
  <c r="Q65" i="12"/>
  <c r="R65" i="12"/>
  <c r="S65" i="12"/>
  <c r="T65" i="12"/>
  <c r="U65" i="12"/>
  <c r="V65" i="12"/>
  <c r="O66" i="12"/>
  <c r="P66" i="12"/>
  <c r="Q66" i="12"/>
  <c r="R66" i="12"/>
  <c r="S66" i="12"/>
  <c r="T66" i="12"/>
  <c r="U66" i="12"/>
  <c r="V66" i="12"/>
  <c r="O67" i="12"/>
  <c r="P67" i="12"/>
  <c r="Q67" i="12"/>
  <c r="R67" i="12"/>
  <c r="S67" i="12"/>
  <c r="T67" i="12"/>
  <c r="U67" i="12"/>
  <c r="V67" i="12"/>
  <c r="O68" i="12"/>
  <c r="P68" i="12"/>
  <c r="Q68" i="12"/>
  <c r="R68" i="12"/>
  <c r="S68" i="12"/>
  <c r="T68" i="12"/>
  <c r="U68" i="12"/>
  <c r="V68" i="12"/>
  <c r="O69" i="12"/>
  <c r="P69" i="12"/>
  <c r="Q69" i="12"/>
  <c r="R69" i="12"/>
  <c r="S69" i="12"/>
  <c r="T69" i="12"/>
  <c r="U69" i="12"/>
  <c r="V69" i="12"/>
  <c r="O70" i="12"/>
  <c r="P70" i="12"/>
  <c r="Q70" i="12"/>
  <c r="R70" i="12"/>
  <c r="S70" i="12"/>
  <c r="T70" i="12"/>
  <c r="U70" i="12"/>
  <c r="V70" i="12"/>
  <c r="O71" i="12"/>
  <c r="P71" i="12"/>
  <c r="Q71" i="12"/>
  <c r="R71" i="12"/>
  <c r="S71" i="12"/>
  <c r="T71" i="12"/>
  <c r="U71" i="12"/>
  <c r="V71" i="12"/>
  <c r="O72" i="12"/>
  <c r="P72" i="12"/>
  <c r="Q72" i="12"/>
  <c r="R72" i="12"/>
  <c r="S72" i="12"/>
  <c r="T72" i="12"/>
  <c r="U72" i="12"/>
  <c r="V72" i="12"/>
  <c r="O73" i="12"/>
  <c r="P73" i="12"/>
  <c r="Q73" i="12"/>
  <c r="R73" i="12"/>
  <c r="S73" i="12"/>
  <c r="T73" i="12"/>
  <c r="U73" i="12"/>
  <c r="V73" i="12"/>
  <c r="O74" i="12"/>
  <c r="P74" i="12"/>
  <c r="Q74" i="12"/>
  <c r="R74" i="12"/>
  <c r="S74" i="12"/>
  <c r="T74" i="12"/>
  <c r="U74" i="12"/>
  <c r="V74" i="12"/>
  <c r="O75" i="12"/>
  <c r="P75" i="12"/>
  <c r="Q75" i="12"/>
  <c r="R75" i="12"/>
  <c r="S75" i="12"/>
  <c r="T75" i="12"/>
  <c r="U75" i="12"/>
  <c r="V75" i="12"/>
  <c r="O76" i="12"/>
  <c r="P76" i="12"/>
  <c r="R76" i="12"/>
  <c r="S76" i="12"/>
  <c r="T76" i="12"/>
  <c r="U76" i="12"/>
  <c r="V76" i="12"/>
  <c r="O77" i="12"/>
  <c r="P77" i="12"/>
  <c r="Q77" i="12"/>
  <c r="R77" i="12"/>
  <c r="S77" i="12"/>
  <c r="T77" i="12"/>
  <c r="U77" i="12"/>
  <c r="V77" i="12"/>
  <c r="O78" i="12"/>
  <c r="P78" i="12"/>
  <c r="Q78" i="12"/>
  <c r="R78" i="12"/>
  <c r="S78" i="12"/>
  <c r="T78" i="12"/>
  <c r="U78" i="12"/>
  <c r="V78" i="12"/>
  <c r="O79" i="12"/>
  <c r="P79" i="12"/>
  <c r="Q79" i="12"/>
  <c r="R79" i="12"/>
  <c r="S79" i="12"/>
  <c r="T79" i="12"/>
  <c r="U79" i="12"/>
  <c r="V79" i="12"/>
  <c r="O80" i="12"/>
  <c r="P80" i="12"/>
  <c r="Q80" i="12"/>
  <c r="R80" i="12"/>
  <c r="S80" i="12"/>
  <c r="T80" i="12"/>
  <c r="U80" i="12"/>
  <c r="V80" i="12"/>
  <c r="O81" i="12"/>
  <c r="P81" i="12"/>
  <c r="Q81" i="12"/>
  <c r="R81" i="12"/>
  <c r="S81" i="12"/>
  <c r="T81" i="12"/>
  <c r="U81" i="12"/>
  <c r="V81" i="12"/>
  <c r="O82" i="12"/>
  <c r="P82" i="12"/>
  <c r="Q82" i="12"/>
  <c r="R82" i="12"/>
  <c r="S82" i="12"/>
  <c r="T82" i="12"/>
  <c r="U82" i="12"/>
  <c r="V82" i="12"/>
  <c r="O83" i="12"/>
  <c r="P83" i="12"/>
  <c r="Q83" i="12"/>
  <c r="R83" i="12"/>
  <c r="S83" i="12"/>
  <c r="T83" i="12"/>
  <c r="U83" i="12"/>
  <c r="V83" i="12"/>
  <c r="O84" i="12"/>
  <c r="P84" i="12"/>
  <c r="Q84" i="12"/>
  <c r="R84" i="12"/>
  <c r="S84" i="12"/>
  <c r="T84" i="12"/>
  <c r="U84" i="12"/>
  <c r="V84" i="12"/>
  <c r="O85" i="12"/>
  <c r="P85" i="12"/>
  <c r="Q85" i="12"/>
  <c r="R85" i="12"/>
  <c r="S85" i="12"/>
  <c r="T85" i="12"/>
  <c r="U85" i="12"/>
  <c r="V85" i="12"/>
  <c r="E86" i="12"/>
  <c r="H86" i="12"/>
  <c r="K86" i="12"/>
  <c r="M86" i="12"/>
  <c r="N86" i="12"/>
  <c r="Q86" i="12"/>
  <c r="R86" i="12"/>
  <c r="S86" i="12"/>
  <c r="T86" i="12"/>
  <c r="U86" i="12"/>
  <c r="V86" i="12"/>
  <c r="N87" i="12"/>
  <c r="C3" i="8"/>
  <c r="E8" i="8"/>
  <c r="H8" i="8"/>
  <c r="K8" i="8"/>
  <c r="N8" i="8"/>
  <c r="S8" i="8"/>
  <c r="O9" i="8"/>
  <c r="O10" i="8"/>
  <c r="P10" i="8"/>
  <c r="Q10" i="8"/>
  <c r="R10" i="8"/>
  <c r="S10" i="8"/>
  <c r="T10" i="8"/>
  <c r="U10" i="8"/>
  <c r="V10" i="8"/>
  <c r="O11" i="8"/>
  <c r="P11" i="8"/>
  <c r="Q11" i="8"/>
  <c r="R11" i="8"/>
  <c r="S11" i="8"/>
  <c r="T11" i="8"/>
  <c r="U11" i="8"/>
  <c r="V11" i="8"/>
  <c r="O12" i="8"/>
  <c r="P12" i="8"/>
  <c r="Q12" i="8"/>
  <c r="R12" i="8"/>
  <c r="S12" i="8"/>
  <c r="T12" i="8"/>
  <c r="U12" i="8"/>
  <c r="V12" i="8"/>
  <c r="O13" i="8"/>
  <c r="P13" i="8"/>
  <c r="Q13" i="8"/>
  <c r="R13" i="8"/>
  <c r="S13" i="8"/>
  <c r="T13" i="8"/>
  <c r="U13" i="8"/>
  <c r="V13" i="8"/>
  <c r="O14" i="8"/>
  <c r="P14" i="8"/>
  <c r="Q14" i="8"/>
  <c r="R14" i="8"/>
  <c r="S14" i="8"/>
  <c r="T14" i="8"/>
  <c r="U14" i="8"/>
  <c r="V14" i="8"/>
  <c r="O15" i="8"/>
  <c r="P15" i="8"/>
  <c r="Q15" i="8"/>
  <c r="R15" i="8"/>
  <c r="S15" i="8"/>
  <c r="T15" i="8"/>
  <c r="U15" i="8"/>
  <c r="V15" i="8"/>
  <c r="O16" i="8"/>
  <c r="P16" i="8"/>
  <c r="Q16" i="8"/>
  <c r="R16" i="8"/>
  <c r="S16" i="8"/>
  <c r="T16" i="8"/>
  <c r="U16" i="8"/>
  <c r="V16" i="8"/>
  <c r="O17" i="8"/>
  <c r="P17" i="8"/>
  <c r="Q17" i="8"/>
  <c r="R17" i="8"/>
  <c r="S17" i="8"/>
  <c r="T17" i="8"/>
  <c r="U17" i="8"/>
  <c r="V17" i="8"/>
  <c r="O18" i="8"/>
  <c r="P18" i="8"/>
  <c r="Q18" i="8"/>
  <c r="R18" i="8"/>
  <c r="S18" i="8"/>
  <c r="T18" i="8"/>
  <c r="U18" i="8"/>
  <c r="V18" i="8"/>
  <c r="O19" i="8"/>
  <c r="P19" i="8"/>
  <c r="Q19" i="8"/>
  <c r="R19" i="8"/>
  <c r="S19" i="8"/>
  <c r="T19" i="8"/>
  <c r="U19" i="8"/>
  <c r="V19" i="8"/>
  <c r="O20" i="8"/>
  <c r="P20" i="8"/>
  <c r="Q20" i="8"/>
  <c r="R20" i="8"/>
  <c r="S20" i="8"/>
  <c r="T20" i="8"/>
  <c r="U20" i="8"/>
  <c r="V20" i="8"/>
  <c r="O21" i="8"/>
  <c r="P21" i="8"/>
  <c r="Q21" i="8"/>
  <c r="R21" i="8"/>
  <c r="S21" i="8"/>
  <c r="T21" i="8"/>
  <c r="U21" i="8"/>
  <c r="V21" i="8"/>
  <c r="O22" i="8"/>
  <c r="P22" i="8"/>
  <c r="Q22" i="8"/>
  <c r="R22" i="8"/>
  <c r="S22" i="8"/>
  <c r="T22" i="8"/>
  <c r="U22" i="8"/>
  <c r="V22" i="8"/>
  <c r="O23" i="8"/>
  <c r="P23" i="8"/>
  <c r="Q23" i="8"/>
  <c r="R23" i="8"/>
  <c r="S23" i="8"/>
  <c r="T23" i="8"/>
  <c r="U23" i="8"/>
  <c r="V23" i="8"/>
  <c r="O24" i="8"/>
  <c r="P24" i="8"/>
  <c r="Q24" i="8"/>
  <c r="R24" i="8"/>
  <c r="S24" i="8"/>
  <c r="T24" i="8"/>
  <c r="U24" i="8"/>
  <c r="V24" i="8"/>
  <c r="O25" i="8"/>
  <c r="P25" i="8"/>
  <c r="Q25" i="8"/>
  <c r="R25" i="8"/>
  <c r="S25" i="8"/>
  <c r="T25" i="8"/>
  <c r="U25" i="8"/>
  <c r="V25" i="8"/>
  <c r="O26" i="8"/>
  <c r="P26" i="8"/>
  <c r="Q26" i="8"/>
  <c r="R26" i="8"/>
  <c r="S26" i="8"/>
  <c r="T26" i="8"/>
  <c r="U26" i="8"/>
  <c r="V26" i="8"/>
  <c r="O27" i="8"/>
  <c r="P27" i="8"/>
  <c r="Q27" i="8"/>
  <c r="R27" i="8"/>
  <c r="S27" i="8"/>
  <c r="T27" i="8"/>
  <c r="U27" i="8"/>
  <c r="V27" i="8"/>
  <c r="O28" i="8"/>
  <c r="P28" i="8"/>
  <c r="Q28" i="8"/>
  <c r="R28" i="8"/>
  <c r="S28" i="8"/>
  <c r="T28" i="8"/>
  <c r="U28" i="8"/>
  <c r="V28" i="8"/>
  <c r="O29" i="8"/>
  <c r="P29" i="8"/>
  <c r="Q29" i="8"/>
  <c r="R29" i="8"/>
  <c r="S29" i="8"/>
  <c r="T29" i="8"/>
  <c r="U29" i="8"/>
  <c r="V29" i="8"/>
  <c r="O30" i="8"/>
  <c r="P30" i="8"/>
  <c r="Q30" i="8"/>
  <c r="R30" i="8"/>
  <c r="S30" i="8"/>
  <c r="T30" i="8"/>
  <c r="U30" i="8"/>
  <c r="V30" i="8"/>
  <c r="O31" i="8"/>
  <c r="P31" i="8"/>
  <c r="Q31" i="8"/>
  <c r="R31" i="8"/>
  <c r="S31" i="8"/>
  <c r="T31" i="8"/>
  <c r="U31" i="8"/>
  <c r="V31" i="8"/>
  <c r="O32" i="8"/>
  <c r="P32" i="8"/>
  <c r="Q32" i="8"/>
  <c r="R32" i="8"/>
  <c r="S32" i="8"/>
  <c r="T32" i="8"/>
  <c r="U32" i="8"/>
  <c r="V32" i="8"/>
  <c r="O33" i="8"/>
  <c r="P33" i="8"/>
  <c r="R33" i="8"/>
  <c r="S33" i="8"/>
  <c r="T33" i="8"/>
  <c r="U33" i="8"/>
  <c r="V33" i="8"/>
  <c r="O34" i="8"/>
  <c r="P34" i="8"/>
  <c r="Q34" i="8"/>
  <c r="R34" i="8"/>
  <c r="S34" i="8"/>
  <c r="T34" i="8"/>
  <c r="U34" i="8"/>
  <c r="V34" i="8"/>
  <c r="O35" i="8"/>
  <c r="P35" i="8"/>
  <c r="Q35" i="8"/>
  <c r="R35" i="8"/>
  <c r="S35" i="8"/>
  <c r="T35" i="8"/>
  <c r="U35" i="8"/>
  <c r="V35" i="8"/>
  <c r="O36" i="8"/>
  <c r="P36" i="8"/>
  <c r="R36" i="8"/>
  <c r="S36" i="8"/>
  <c r="T36" i="8"/>
  <c r="U36" i="8"/>
  <c r="V36" i="8"/>
  <c r="O37" i="8"/>
  <c r="P37" i="8"/>
  <c r="Q37" i="8"/>
  <c r="R37" i="8"/>
  <c r="S37" i="8"/>
  <c r="T37" i="8"/>
  <c r="U37" i="8"/>
  <c r="V37" i="8"/>
  <c r="O38" i="8"/>
  <c r="P38" i="8"/>
  <c r="R38" i="8"/>
  <c r="S38" i="8"/>
  <c r="T38" i="8"/>
  <c r="U38" i="8"/>
  <c r="V38" i="8"/>
  <c r="O39" i="8"/>
  <c r="P39" i="8"/>
  <c r="R39" i="8"/>
  <c r="S39" i="8"/>
  <c r="T39" i="8"/>
  <c r="U39" i="8"/>
  <c r="V39" i="8"/>
  <c r="O40" i="8"/>
  <c r="P40" i="8"/>
  <c r="Q40" i="8"/>
  <c r="R40" i="8"/>
  <c r="S40" i="8"/>
  <c r="T40" i="8"/>
  <c r="U40" i="8"/>
  <c r="V40" i="8"/>
  <c r="O41" i="8"/>
  <c r="P41" i="8"/>
  <c r="Q41" i="8"/>
  <c r="R41" i="8"/>
  <c r="S41" i="8"/>
  <c r="T41" i="8"/>
  <c r="U41" i="8"/>
  <c r="V41" i="8"/>
  <c r="O42" i="8"/>
  <c r="P42" i="8"/>
  <c r="Q42" i="8"/>
  <c r="R42" i="8"/>
  <c r="S42" i="8"/>
  <c r="T42" i="8"/>
  <c r="U42" i="8"/>
  <c r="V42" i="8"/>
  <c r="O43" i="8"/>
  <c r="P43" i="8"/>
  <c r="Q43" i="8"/>
  <c r="R43" i="8"/>
  <c r="S43" i="8"/>
  <c r="T43" i="8"/>
  <c r="U43" i="8"/>
  <c r="V43" i="8"/>
  <c r="O44" i="8"/>
  <c r="P44" i="8"/>
  <c r="R44" i="8"/>
  <c r="S44" i="8"/>
  <c r="T44" i="8"/>
  <c r="U44" i="8"/>
  <c r="V44" i="8"/>
  <c r="O45" i="8"/>
  <c r="P45" i="8"/>
  <c r="Q45" i="8"/>
  <c r="R45" i="8"/>
  <c r="S45" i="8"/>
  <c r="T45" i="8"/>
  <c r="U45" i="8"/>
  <c r="V45" i="8"/>
  <c r="O46" i="8"/>
  <c r="P46" i="8"/>
  <c r="Q46" i="8"/>
  <c r="R46" i="8"/>
  <c r="S46" i="8"/>
  <c r="T46" i="8"/>
  <c r="U46" i="8"/>
  <c r="V46" i="8"/>
  <c r="O47" i="8"/>
  <c r="P47" i="8"/>
  <c r="Q47" i="8"/>
  <c r="R47" i="8"/>
  <c r="S47" i="8"/>
  <c r="T47" i="8"/>
  <c r="U47" i="8"/>
  <c r="V47" i="8"/>
  <c r="O48" i="8"/>
  <c r="P48" i="8"/>
  <c r="Q48" i="8"/>
  <c r="R48" i="8"/>
  <c r="S48" i="8"/>
  <c r="T48" i="8"/>
  <c r="U48" i="8"/>
  <c r="V48" i="8"/>
  <c r="O49" i="8"/>
  <c r="P49" i="8"/>
  <c r="R49" i="8"/>
  <c r="S49" i="8"/>
  <c r="T49" i="8"/>
  <c r="U49" i="8"/>
  <c r="V49" i="8"/>
  <c r="O50" i="8"/>
  <c r="P50" i="8"/>
  <c r="R50" i="8"/>
  <c r="S50" i="8"/>
  <c r="T50" i="8"/>
  <c r="U50" i="8"/>
  <c r="V50" i="8"/>
  <c r="O51" i="8"/>
  <c r="P51" i="8"/>
  <c r="Q51" i="8"/>
  <c r="R51" i="8"/>
  <c r="S51" i="8"/>
  <c r="T51" i="8"/>
  <c r="U51" i="8"/>
  <c r="V51" i="8"/>
  <c r="O52" i="8"/>
  <c r="P52" i="8"/>
  <c r="Q52" i="8"/>
  <c r="R52" i="8"/>
  <c r="S52" i="8"/>
  <c r="T52" i="8"/>
  <c r="U52" i="8"/>
  <c r="V52" i="8"/>
  <c r="O53" i="8"/>
  <c r="P53" i="8"/>
  <c r="Q53" i="8"/>
  <c r="R53" i="8"/>
  <c r="S53" i="8"/>
  <c r="T53" i="8"/>
  <c r="U53" i="8"/>
  <c r="V53" i="8"/>
  <c r="O54" i="8"/>
  <c r="P54" i="8"/>
  <c r="Q54" i="8"/>
  <c r="R54" i="8"/>
  <c r="S54" i="8"/>
  <c r="T54" i="8"/>
  <c r="U54" i="8"/>
  <c r="V54" i="8"/>
  <c r="O55" i="8"/>
  <c r="P55" i="8"/>
  <c r="Q55" i="8"/>
  <c r="R55" i="8"/>
  <c r="S55" i="8"/>
  <c r="T55" i="8"/>
  <c r="U55" i="8"/>
  <c r="V55" i="8"/>
  <c r="O56" i="8"/>
  <c r="P56" i="8"/>
  <c r="Q56" i="8"/>
  <c r="R56" i="8"/>
  <c r="S56" i="8"/>
  <c r="T56" i="8"/>
  <c r="U56" i="8"/>
  <c r="V56" i="8"/>
  <c r="O57" i="8"/>
  <c r="P57" i="8"/>
  <c r="Q57" i="8"/>
  <c r="R57" i="8"/>
  <c r="S57" i="8"/>
  <c r="T57" i="8"/>
  <c r="U57" i="8"/>
  <c r="V57" i="8"/>
  <c r="O58" i="8"/>
  <c r="P58" i="8"/>
  <c r="Q58" i="8"/>
  <c r="R58" i="8"/>
  <c r="S58" i="8"/>
  <c r="T58" i="8"/>
  <c r="U58" i="8"/>
  <c r="V58" i="8"/>
  <c r="O59" i="8"/>
  <c r="P59" i="8"/>
  <c r="Q59" i="8"/>
  <c r="R59" i="8"/>
  <c r="S59" i="8"/>
  <c r="T59" i="8"/>
  <c r="U59" i="8"/>
  <c r="V59" i="8"/>
  <c r="O60" i="8"/>
  <c r="P60" i="8"/>
  <c r="Q60" i="8"/>
  <c r="R60" i="8"/>
  <c r="S60" i="8"/>
  <c r="T60" i="8"/>
  <c r="U60" i="8"/>
  <c r="V60" i="8"/>
  <c r="O61" i="8"/>
  <c r="P61" i="8"/>
  <c r="Q61" i="8"/>
  <c r="R61" i="8"/>
  <c r="S61" i="8"/>
  <c r="T61" i="8"/>
  <c r="U61" i="8"/>
  <c r="V61" i="8"/>
  <c r="O62" i="8"/>
  <c r="P62" i="8"/>
  <c r="Q62" i="8"/>
  <c r="R62" i="8"/>
  <c r="S62" i="8"/>
  <c r="T62" i="8"/>
  <c r="U62" i="8"/>
  <c r="V62" i="8"/>
  <c r="O63" i="8"/>
  <c r="P63" i="8"/>
  <c r="Q63" i="8"/>
  <c r="R63" i="8"/>
  <c r="S63" i="8"/>
  <c r="T63" i="8"/>
  <c r="U63" i="8"/>
  <c r="V63" i="8"/>
  <c r="O64" i="8"/>
  <c r="P64" i="8"/>
  <c r="Q64" i="8"/>
  <c r="R64" i="8"/>
  <c r="S64" i="8"/>
  <c r="T64" i="8"/>
  <c r="U64" i="8"/>
  <c r="V64" i="8"/>
  <c r="O65" i="8"/>
  <c r="P65" i="8"/>
  <c r="Q65" i="8"/>
  <c r="R65" i="8"/>
  <c r="S65" i="8"/>
  <c r="T65" i="8"/>
  <c r="U65" i="8"/>
  <c r="V65" i="8"/>
  <c r="O66" i="8"/>
  <c r="P66" i="8"/>
  <c r="Q66" i="8"/>
  <c r="R66" i="8"/>
  <c r="S66" i="8"/>
  <c r="T66" i="8"/>
  <c r="U66" i="8"/>
  <c r="V66" i="8"/>
  <c r="O67" i="8"/>
  <c r="P67" i="8"/>
  <c r="Q67" i="8"/>
  <c r="R67" i="8"/>
  <c r="S67" i="8"/>
  <c r="T67" i="8"/>
  <c r="U67" i="8"/>
  <c r="V67" i="8"/>
  <c r="O68" i="8"/>
  <c r="P68" i="8"/>
  <c r="Q68" i="8"/>
  <c r="R68" i="8"/>
  <c r="S68" i="8"/>
  <c r="T68" i="8"/>
  <c r="U68" i="8"/>
  <c r="V68" i="8"/>
  <c r="O69" i="8"/>
  <c r="P69" i="8"/>
  <c r="Q69" i="8"/>
  <c r="R69" i="8"/>
  <c r="S69" i="8"/>
  <c r="T69" i="8"/>
  <c r="U69" i="8"/>
  <c r="V69" i="8"/>
  <c r="O70" i="8"/>
  <c r="P70" i="8"/>
  <c r="Q70" i="8"/>
  <c r="R70" i="8"/>
  <c r="S70" i="8"/>
  <c r="T70" i="8"/>
  <c r="U70" i="8"/>
  <c r="V70" i="8"/>
  <c r="O71" i="8"/>
  <c r="P71" i="8"/>
  <c r="Q71" i="8"/>
  <c r="R71" i="8"/>
  <c r="S71" i="8"/>
  <c r="T71" i="8"/>
  <c r="U71" i="8"/>
  <c r="V71" i="8"/>
  <c r="O72" i="8"/>
  <c r="P72" i="8"/>
  <c r="Q72" i="8"/>
  <c r="R72" i="8"/>
  <c r="S72" i="8"/>
  <c r="T72" i="8"/>
  <c r="U72" i="8"/>
  <c r="V72" i="8"/>
  <c r="O73" i="8"/>
  <c r="P73" i="8"/>
  <c r="Q73" i="8"/>
  <c r="R73" i="8"/>
  <c r="S73" i="8"/>
  <c r="T73" i="8"/>
  <c r="U73" i="8"/>
  <c r="V73" i="8"/>
  <c r="O74" i="8"/>
  <c r="P74" i="8"/>
  <c r="Q74" i="8"/>
  <c r="R74" i="8"/>
  <c r="S74" i="8"/>
  <c r="T74" i="8"/>
  <c r="U74" i="8"/>
  <c r="V74" i="8"/>
  <c r="O75" i="8"/>
  <c r="P75" i="8"/>
  <c r="Q75" i="8"/>
  <c r="R75" i="8"/>
  <c r="S75" i="8"/>
  <c r="T75" i="8"/>
  <c r="U75" i="8"/>
  <c r="V75" i="8"/>
  <c r="O76" i="8"/>
  <c r="P76" i="8"/>
  <c r="R76" i="8"/>
  <c r="S76" i="8"/>
  <c r="T76" i="8"/>
  <c r="U76" i="8"/>
  <c r="V76" i="8"/>
  <c r="O77" i="8"/>
  <c r="P77" i="8"/>
  <c r="Q77" i="8"/>
  <c r="R77" i="8"/>
  <c r="S77" i="8"/>
  <c r="T77" i="8"/>
  <c r="U77" i="8"/>
  <c r="V77" i="8"/>
  <c r="O78" i="8"/>
  <c r="P78" i="8"/>
  <c r="Q78" i="8"/>
  <c r="R78" i="8"/>
  <c r="S78" i="8"/>
  <c r="T78" i="8"/>
  <c r="U78" i="8"/>
  <c r="V78" i="8"/>
  <c r="O79" i="8"/>
  <c r="P79" i="8"/>
  <c r="Q79" i="8"/>
  <c r="R79" i="8"/>
  <c r="S79" i="8"/>
  <c r="T79" i="8"/>
  <c r="U79" i="8"/>
  <c r="V79" i="8"/>
  <c r="O80" i="8"/>
  <c r="P80" i="8"/>
  <c r="Q80" i="8"/>
  <c r="R80" i="8"/>
  <c r="S80" i="8"/>
  <c r="T80" i="8"/>
  <c r="U80" i="8"/>
  <c r="V80" i="8"/>
  <c r="O81" i="8"/>
  <c r="P81" i="8"/>
  <c r="Q81" i="8"/>
  <c r="R81" i="8"/>
  <c r="S81" i="8"/>
  <c r="T81" i="8"/>
  <c r="U81" i="8"/>
  <c r="V81" i="8"/>
  <c r="O82" i="8"/>
  <c r="P82" i="8"/>
  <c r="Q82" i="8"/>
  <c r="R82" i="8"/>
  <c r="S82" i="8"/>
  <c r="T82" i="8"/>
  <c r="U82" i="8"/>
  <c r="V82" i="8"/>
  <c r="O83" i="8"/>
  <c r="P83" i="8"/>
  <c r="Q83" i="8"/>
  <c r="R83" i="8"/>
  <c r="S83" i="8"/>
  <c r="T83" i="8"/>
  <c r="U83" i="8"/>
  <c r="V83" i="8"/>
  <c r="O84" i="8"/>
  <c r="P84" i="8"/>
  <c r="Q84" i="8"/>
  <c r="R84" i="8"/>
  <c r="S84" i="8"/>
  <c r="T84" i="8"/>
  <c r="U84" i="8"/>
  <c r="V84" i="8"/>
  <c r="O85" i="8"/>
  <c r="P85" i="8"/>
  <c r="Q85" i="8"/>
  <c r="R85" i="8"/>
  <c r="S85" i="8"/>
  <c r="T85" i="8"/>
  <c r="U85" i="8"/>
  <c r="V85" i="8"/>
  <c r="O86" i="8"/>
  <c r="P86" i="8"/>
  <c r="Q86" i="8"/>
  <c r="R86" i="8"/>
  <c r="S86" i="8"/>
  <c r="T86" i="8"/>
  <c r="U86" i="8"/>
  <c r="V86" i="8"/>
  <c r="O87" i="8"/>
  <c r="P87" i="8"/>
  <c r="R87" i="8"/>
  <c r="S87" i="8"/>
  <c r="T87" i="8"/>
  <c r="U87" i="8"/>
  <c r="V87" i="8"/>
  <c r="E88" i="8"/>
  <c r="H88" i="8"/>
  <c r="K88" i="8"/>
  <c r="M88" i="8"/>
  <c r="N88" i="8"/>
  <c r="Q88" i="8"/>
  <c r="R88" i="8"/>
  <c r="S88" i="8"/>
  <c r="T88" i="8"/>
  <c r="U88" i="8"/>
  <c r="V88" i="8"/>
  <c r="N89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C3" i="9"/>
  <c r="E8" i="9"/>
  <c r="H8" i="9"/>
  <c r="K8" i="9"/>
  <c r="N8" i="9"/>
  <c r="S8" i="9"/>
  <c r="O9" i="9"/>
  <c r="O10" i="9"/>
  <c r="P10" i="9"/>
  <c r="Q10" i="9"/>
  <c r="R10" i="9"/>
  <c r="S10" i="9"/>
  <c r="T10" i="9"/>
  <c r="U10" i="9"/>
  <c r="V10" i="9"/>
  <c r="O11" i="9"/>
  <c r="P11" i="9"/>
  <c r="Q11" i="9"/>
  <c r="R11" i="9"/>
  <c r="S11" i="9"/>
  <c r="T11" i="9"/>
  <c r="U11" i="9"/>
  <c r="V11" i="9"/>
  <c r="O12" i="9"/>
  <c r="P12" i="9"/>
  <c r="Q12" i="9"/>
  <c r="R12" i="9"/>
  <c r="S12" i="9"/>
  <c r="T12" i="9"/>
  <c r="U12" i="9"/>
  <c r="V12" i="9"/>
  <c r="O13" i="9"/>
  <c r="P13" i="9"/>
  <c r="Q13" i="9"/>
  <c r="R13" i="9"/>
  <c r="S13" i="9"/>
  <c r="T13" i="9"/>
  <c r="U13" i="9"/>
  <c r="V13" i="9"/>
  <c r="O14" i="9"/>
  <c r="P14" i="9"/>
  <c r="Q14" i="9"/>
  <c r="R14" i="9"/>
  <c r="S14" i="9"/>
  <c r="T14" i="9"/>
  <c r="U14" i="9"/>
  <c r="V14" i="9"/>
  <c r="O15" i="9"/>
  <c r="P15" i="9"/>
  <c r="Q15" i="9"/>
  <c r="R15" i="9"/>
  <c r="S15" i="9"/>
  <c r="T15" i="9"/>
  <c r="U15" i="9"/>
  <c r="V15" i="9"/>
  <c r="O16" i="9"/>
  <c r="P16" i="9"/>
  <c r="Q16" i="9"/>
  <c r="R16" i="9"/>
  <c r="S16" i="9"/>
  <c r="T16" i="9"/>
  <c r="U16" i="9"/>
  <c r="V16" i="9"/>
  <c r="O17" i="9"/>
  <c r="P17" i="9"/>
  <c r="Q17" i="9"/>
  <c r="R17" i="9"/>
  <c r="S17" i="9"/>
  <c r="T17" i="9"/>
  <c r="U17" i="9"/>
  <c r="V17" i="9"/>
  <c r="O18" i="9"/>
  <c r="P18" i="9"/>
  <c r="Q18" i="9"/>
  <c r="R18" i="9"/>
  <c r="S18" i="9"/>
  <c r="T18" i="9"/>
  <c r="U18" i="9"/>
  <c r="V18" i="9"/>
  <c r="O19" i="9"/>
  <c r="P19" i="9"/>
  <c r="Q19" i="9"/>
  <c r="R19" i="9"/>
  <c r="S19" i="9"/>
  <c r="T19" i="9"/>
  <c r="U19" i="9"/>
  <c r="V19" i="9"/>
  <c r="O20" i="9"/>
  <c r="P20" i="9"/>
  <c r="Q20" i="9"/>
  <c r="R20" i="9"/>
  <c r="S20" i="9"/>
  <c r="T20" i="9"/>
  <c r="U20" i="9"/>
  <c r="V20" i="9"/>
  <c r="O21" i="9"/>
  <c r="P21" i="9"/>
  <c r="Q21" i="9"/>
  <c r="R21" i="9"/>
  <c r="S21" i="9"/>
  <c r="T21" i="9"/>
  <c r="U21" i="9"/>
  <c r="V21" i="9"/>
  <c r="O22" i="9"/>
  <c r="P22" i="9"/>
  <c r="Q22" i="9"/>
  <c r="R22" i="9"/>
  <c r="S22" i="9"/>
  <c r="T22" i="9"/>
  <c r="U22" i="9"/>
  <c r="V22" i="9"/>
  <c r="O23" i="9"/>
  <c r="P23" i="9"/>
  <c r="Q23" i="9"/>
  <c r="R23" i="9"/>
  <c r="S23" i="9"/>
  <c r="T23" i="9"/>
  <c r="U23" i="9"/>
  <c r="V23" i="9"/>
  <c r="O24" i="9"/>
  <c r="P24" i="9"/>
  <c r="Q24" i="9"/>
  <c r="R24" i="9"/>
  <c r="S24" i="9"/>
  <c r="T24" i="9"/>
  <c r="U24" i="9"/>
  <c r="V24" i="9"/>
  <c r="O25" i="9"/>
  <c r="P25" i="9"/>
  <c r="Q25" i="9"/>
  <c r="R25" i="9"/>
  <c r="S25" i="9"/>
  <c r="T25" i="9"/>
  <c r="U25" i="9"/>
  <c r="V25" i="9"/>
  <c r="O26" i="9"/>
  <c r="P26" i="9"/>
  <c r="Q26" i="9"/>
  <c r="R26" i="9"/>
  <c r="S26" i="9"/>
  <c r="T26" i="9"/>
  <c r="U26" i="9"/>
  <c r="V26" i="9"/>
  <c r="O27" i="9"/>
  <c r="P27" i="9"/>
  <c r="Q27" i="9"/>
  <c r="R27" i="9"/>
  <c r="S27" i="9"/>
  <c r="T27" i="9"/>
  <c r="U27" i="9"/>
  <c r="V27" i="9"/>
  <c r="O28" i="9"/>
  <c r="P28" i="9"/>
  <c r="Q28" i="9"/>
  <c r="R28" i="9"/>
  <c r="S28" i="9"/>
  <c r="T28" i="9"/>
  <c r="U28" i="9"/>
  <c r="V28" i="9"/>
  <c r="O29" i="9"/>
  <c r="P29" i="9"/>
  <c r="Q29" i="9"/>
  <c r="R29" i="9"/>
  <c r="S29" i="9"/>
  <c r="T29" i="9"/>
  <c r="U29" i="9"/>
  <c r="V29" i="9"/>
  <c r="O30" i="9"/>
  <c r="P30" i="9"/>
  <c r="Q30" i="9"/>
  <c r="R30" i="9"/>
  <c r="S30" i="9"/>
  <c r="T30" i="9"/>
  <c r="U30" i="9"/>
  <c r="V30" i="9"/>
  <c r="O31" i="9"/>
  <c r="P31" i="9"/>
  <c r="Q31" i="9"/>
  <c r="R31" i="9"/>
  <c r="S31" i="9"/>
  <c r="T31" i="9"/>
  <c r="U31" i="9"/>
  <c r="V31" i="9"/>
  <c r="O32" i="9"/>
  <c r="P32" i="9"/>
  <c r="Q32" i="9"/>
  <c r="R32" i="9"/>
  <c r="S32" i="9"/>
  <c r="T32" i="9"/>
  <c r="U32" i="9"/>
  <c r="V32" i="9"/>
  <c r="O33" i="9"/>
  <c r="P33" i="9"/>
  <c r="Q33" i="9"/>
  <c r="R33" i="9"/>
  <c r="S33" i="9"/>
  <c r="T33" i="9"/>
  <c r="U33" i="9"/>
  <c r="V33" i="9"/>
  <c r="O34" i="9"/>
  <c r="P34" i="9"/>
  <c r="Q34" i="9"/>
  <c r="R34" i="9"/>
  <c r="S34" i="9"/>
  <c r="T34" i="9"/>
  <c r="U34" i="9"/>
  <c r="V34" i="9"/>
  <c r="O35" i="9"/>
  <c r="P35" i="9"/>
  <c r="Q35" i="9"/>
  <c r="R35" i="9"/>
  <c r="S35" i="9"/>
  <c r="T35" i="9"/>
  <c r="U35" i="9"/>
  <c r="V35" i="9"/>
  <c r="O36" i="9"/>
  <c r="P36" i="9"/>
  <c r="Q36" i="9"/>
  <c r="R36" i="9"/>
  <c r="S36" i="9"/>
  <c r="T36" i="9"/>
  <c r="U36" i="9"/>
  <c r="V36" i="9"/>
  <c r="O37" i="9"/>
  <c r="P37" i="9"/>
  <c r="Q37" i="9"/>
  <c r="R37" i="9"/>
  <c r="S37" i="9"/>
  <c r="T37" i="9"/>
  <c r="U37" i="9"/>
  <c r="V37" i="9"/>
  <c r="O38" i="9"/>
  <c r="P38" i="9"/>
  <c r="Q38" i="9"/>
  <c r="R38" i="9"/>
  <c r="S38" i="9"/>
  <c r="T38" i="9"/>
  <c r="U38" i="9"/>
  <c r="V38" i="9"/>
  <c r="O39" i="9"/>
  <c r="P39" i="9"/>
  <c r="Q39" i="9"/>
  <c r="R39" i="9"/>
  <c r="S39" i="9"/>
  <c r="T39" i="9"/>
  <c r="U39" i="9"/>
  <c r="V39" i="9"/>
  <c r="O40" i="9"/>
  <c r="P40" i="9"/>
  <c r="Q40" i="9"/>
  <c r="R40" i="9"/>
  <c r="S40" i="9"/>
  <c r="T40" i="9"/>
  <c r="U40" i="9"/>
  <c r="V40" i="9"/>
  <c r="O41" i="9"/>
  <c r="P41" i="9"/>
  <c r="Q41" i="9"/>
  <c r="R41" i="9"/>
  <c r="S41" i="9"/>
  <c r="T41" i="9"/>
  <c r="U41" i="9"/>
  <c r="V41" i="9"/>
  <c r="O42" i="9"/>
  <c r="P42" i="9"/>
  <c r="Q42" i="9"/>
  <c r="R42" i="9"/>
  <c r="S42" i="9"/>
  <c r="T42" i="9"/>
  <c r="U42" i="9"/>
  <c r="V42" i="9"/>
  <c r="O43" i="9"/>
  <c r="P43" i="9"/>
  <c r="Q43" i="9"/>
  <c r="R43" i="9"/>
  <c r="S43" i="9"/>
  <c r="T43" i="9"/>
  <c r="U43" i="9"/>
  <c r="V43" i="9"/>
  <c r="O44" i="9"/>
  <c r="P44" i="9"/>
  <c r="Q44" i="9"/>
  <c r="R44" i="9"/>
  <c r="S44" i="9"/>
  <c r="T44" i="9"/>
  <c r="U44" i="9"/>
  <c r="V44" i="9"/>
  <c r="O45" i="9"/>
  <c r="P45" i="9"/>
  <c r="Q45" i="9"/>
  <c r="R45" i="9"/>
  <c r="S45" i="9"/>
  <c r="T45" i="9"/>
  <c r="U45" i="9"/>
  <c r="V45" i="9"/>
  <c r="O46" i="9"/>
  <c r="P46" i="9"/>
  <c r="Q46" i="9"/>
  <c r="R46" i="9"/>
  <c r="S46" i="9"/>
  <c r="T46" i="9"/>
  <c r="U46" i="9"/>
  <c r="V46" i="9"/>
  <c r="O47" i="9"/>
  <c r="P47" i="9"/>
  <c r="Q47" i="9"/>
  <c r="R47" i="9"/>
  <c r="S47" i="9"/>
  <c r="T47" i="9"/>
  <c r="U47" i="9"/>
  <c r="V47" i="9"/>
  <c r="O48" i="9"/>
  <c r="P48" i="9"/>
  <c r="Q48" i="9"/>
  <c r="R48" i="9"/>
  <c r="S48" i="9"/>
  <c r="T48" i="9"/>
  <c r="U48" i="9"/>
  <c r="V48" i="9"/>
  <c r="O49" i="9"/>
  <c r="P49" i="9"/>
  <c r="Q49" i="9"/>
  <c r="R49" i="9"/>
  <c r="S49" i="9"/>
  <c r="T49" i="9"/>
  <c r="U49" i="9"/>
  <c r="V49" i="9"/>
  <c r="O50" i="9"/>
  <c r="P50" i="9"/>
  <c r="Q50" i="9"/>
  <c r="R50" i="9"/>
  <c r="S50" i="9"/>
  <c r="T50" i="9"/>
  <c r="U50" i="9"/>
  <c r="V50" i="9"/>
  <c r="O51" i="9"/>
  <c r="P51" i="9"/>
  <c r="Q51" i="9"/>
  <c r="R51" i="9"/>
  <c r="S51" i="9"/>
  <c r="T51" i="9"/>
  <c r="U51" i="9"/>
  <c r="V51" i="9"/>
  <c r="O52" i="9"/>
  <c r="P52" i="9"/>
  <c r="Q52" i="9"/>
  <c r="R52" i="9"/>
  <c r="S52" i="9"/>
  <c r="T52" i="9"/>
  <c r="U52" i="9"/>
  <c r="V52" i="9"/>
  <c r="O53" i="9"/>
  <c r="P53" i="9"/>
  <c r="Q53" i="9"/>
  <c r="R53" i="9"/>
  <c r="S53" i="9"/>
  <c r="T53" i="9"/>
  <c r="U53" i="9"/>
  <c r="V53" i="9"/>
  <c r="O54" i="9"/>
  <c r="P54" i="9"/>
  <c r="Q54" i="9"/>
  <c r="R54" i="9"/>
  <c r="S54" i="9"/>
  <c r="T54" i="9"/>
  <c r="U54" i="9"/>
  <c r="V54" i="9"/>
  <c r="O55" i="9"/>
  <c r="P55" i="9"/>
  <c r="Q55" i="9"/>
  <c r="R55" i="9"/>
  <c r="S55" i="9"/>
  <c r="T55" i="9"/>
  <c r="U55" i="9"/>
  <c r="V55" i="9"/>
  <c r="O56" i="9"/>
  <c r="P56" i="9"/>
  <c r="Q56" i="9"/>
  <c r="R56" i="9"/>
  <c r="S56" i="9"/>
  <c r="T56" i="9"/>
  <c r="U56" i="9"/>
  <c r="V56" i="9"/>
  <c r="O57" i="9"/>
  <c r="P57" i="9"/>
  <c r="Q57" i="9"/>
  <c r="R57" i="9"/>
  <c r="S57" i="9"/>
  <c r="T57" i="9"/>
  <c r="U57" i="9"/>
  <c r="V57" i="9"/>
  <c r="O58" i="9"/>
  <c r="P58" i="9"/>
  <c r="Q58" i="9"/>
  <c r="R58" i="9"/>
  <c r="S58" i="9"/>
  <c r="T58" i="9"/>
  <c r="U58" i="9"/>
  <c r="V58" i="9"/>
  <c r="O59" i="9"/>
  <c r="P59" i="9"/>
  <c r="Q59" i="9"/>
  <c r="R59" i="9"/>
  <c r="S59" i="9"/>
  <c r="T59" i="9"/>
  <c r="U59" i="9"/>
  <c r="V59" i="9"/>
  <c r="O60" i="9"/>
  <c r="P60" i="9"/>
  <c r="Q60" i="9"/>
  <c r="R60" i="9"/>
  <c r="S60" i="9"/>
  <c r="T60" i="9"/>
  <c r="U60" i="9"/>
  <c r="V60" i="9"/>
  <c r="O61" i="9"/>
  <c r="P61" i="9"/>
  <c r="Q61" i="9"/>
  <c r="R61" i="9"/>
  <c r="S61" i="9"/>
  <c r="T61" i="9"/>
  <c r="U61" i="9"/>
  <c r="V61" i="9"/>
  <c r="O62" i="9"/>
  <c r="P62" i="9"/>
  <c r="Q62" i="9"/>
  <c r="R62" i="9"/>
  <c r="S62" i="9"/>
  <c r="T62" i="9"/>
  <c r="U62" i="9"/>
  <c r="V62" i="9"/>
  <c r="O63" i="9"/>
  <c r="P63" i="9"/>
  <c r="Q63" i="9"/>
  <c r="R63" i="9"/>
  <c r="S63" i="9"/>
  <c r="T63" i="9"/>
  <c r="U63" i="9"/>
  <c r="V63" i="9"/>
  <c r="O64" i="9"/>
  <c r="P64" i="9"/>
  <c r="Q64" i="9"/>
  <c r="R64" i="9"/>
  <c r="S64" i="9"/>
  <c r="T64" i="9"/>
  <c r="U64" i="9"/>
  <c r="V64" i="9"/>
  <c r="O65" i="9"/>
  <c r="P65" i="9"/>
  <c r="Q65" i="9"/>
  <c r="R65" i="9"/>
  <c r="S65" i="9"/>
  <c r="T65" i="9"/>
  <c r="U65" i="9"/>
  <c r="V65" i="9"/>
  <c r="O66" i="9"/>
  <c r="P66" i="9"/>
  <c r="Q66" i="9"/>
  <c r="R66" i="9"/>
  <c r="S66" i="9"/>
  <c r="T66" i="9"/>
  <c r="U66" i="9"/>
  <c r="V66" i="9"/>
  <c r="O67" i="9"/>
  <c r="P67" i="9"/>
  <c r="Q67" i="9"/>
  <c r="R67" i="9"/>
  <c r="S67" i="9"/>
  <c r="T67" i="9"/>
  <c r="U67" i="9"/>
  <c r="V67" i="9"/>
  <c r="O68" i="9"/>
  <c r="P68" i="9"/>
  <c r="Q68" i="9"/>
  <c r="R68" i="9"/>
  <c r="S68" i="9"/>
  <c r="T68" i="9"/>
  <c r="U68" i="9"/>
  <c r="V68" i="9"/>
  <c r="O69" i="9"/>
  <c r="P69" i="9"/>
  <c r="Q69" i="9"/>
  <c r="R69" i="9"/>
  <c r="S69" i="9"/>
  <c r="T69" i="9"/>
  <c r="U69" i="9"/>
  <c r="V69" i="9"/>
  <c r="O70" i="9"/>
  <c r="P70" i="9"/>
  <c r="Q70" i="9"/>
  <c r="R70" i="9"/>
  <c r="S70" i="9"/>
  <c r="T70" i="9"/>
  <c r="U70" i="9"/>
  <c r="V70" i="9"/>
  <c r="O71" i="9"/>
  <c r="P71" i="9"/>
  <c r="Q71" i="9"/>
  <c r="R71" i="9"/>
  <c r="S71" i="9"/>
  <c r="T71" i="9"/>
  <c r="U71" i="9"/>
  <c r="V71" i="9"/>
  <c r="O72" i="9"/>
  <c r="P72" i="9"/>
  <c r="Q72" i="9"/>
  <c r="R72" i="9"/>
  <c r="S72" i="9"/>
  <c r="T72" i="9"/>
  <c r="U72" i="9"/>
  <c r="V72" i="9"/>
  <c r="O73" i="9"/>
  <c r="P73" i="9"/>
  <c r="Q73" i="9"/>
  <c r="R73" i="9"/>
  <c r="S73" i="9"/>
  <c r="T73" i="9"/>
  <c r="U73" i="9"/>
  <c r="V73" i="9"/>
  <c r="O74" i="9"/>
  <c r="P74" i="9"/>
  <c r="Q74" i="9"/>
  <c r="R74" i="9"/>
  <c r="S74" i="9"/>
  <c r="T74" i="9"/>
  <c r="U74" i="9"/>
  <c r="V74" i="9"/>
  <c r="O75" i="9"/>
  <c r="P75" i="9"/>
  <c r="Q75" i="9"/>
  <c r="R75" i="9"/>
  <c r="S75" i="9"/>
  <c r="T75" i="9"/>
  <c r="U75" i="9"/>
  <c r="V75" i="9"/>
  <c r="O76" i="9"/>
  <c r="P76" i="9"/>
  <c r="Q76" i="9"/>
  <c r="R76" i="9"/>
  <c r="S76" i="9"/>
  <c r="T76" i="9"/>
  <c r="U76" i="9"/>
  <c r="V76" i="9"/>
  <c r="O77" i="9"/>
  <c r="P77" i="9"/>
  <c r="Q77" i="9"/>
  <c r="R77" i="9"/>
  <c r="S77" i="9"/>
  <c r="T77" i="9"/>
  <c r="U77" i="9"/>
  <c r="V77" i="9"/>
  <c r="O78" i="9"/>
  <c r="P78" i="9"/>
  <c r="Q78" i="9"/>
  <c r="R78" i="9"/>
  <c r="S78" i="9"/>
  <c r="T78" i="9"/>
  <c r="U78" i="9"/>
  <c r="V78" i="9"/>
  <c r="O79" i="9"/>
  <c r="P79" i="9"/>
  <c r="Q79" i="9"/>
  <c r="R79" i="9"/>
  <c r="S79" i="9"/>
  <c r="T79" i="9"/>
  <c r="U79" i="9"/>
  <c r="V79" i="9"/>
  <c r="O80" i="9"/>
  <c r="P80" i="9"/>
  <c r="Q80" i="9"/>
  <c r="R80" i="9"/>
  <c r="S80" i="9"/>
  <c r="T80" i="9"/>
  <c r="U80" i="9"/>
  <c r="V80" i="9"/>
  <c r="O81" i="9"/>
  <c r="P81" i="9"/>
  <c r="Q81" i="9"/>
  <c r="R81" i="9"/>
  <c r="S81" i="9"/>
  <c r="T81" i="9"/>
  <c r="U81" i="9"/>
  <c r="V81" i="9"/>
  <c r="O82" i="9"/>
  <c r="P82" i="9"/>
  <c r="Q82" i="9"/>
  <c r="R82" i="9"/>
  <c r="S82" i="9"/>
  <c r="T82" i="9"/>
  <c r="U82" i="9"/>
  <c r="V82" i="9"/>
  <c r="O83" i="9"/>
  <c r="P83" i="9"/>
  <c r="Q83" i="9"/>
  <c r="R83" i="9"/>
  <c r="S83" i="9"/>
  <c r="T83" i="9"/>
  <c r="U83" i="9"/>
  <c r="V83" i="9"/>
  <c r="O84" i="9"/>
  <c r="P84" i="9"/>
  <c r="Q84" i="9"/>
  <c r="R84" i="9"/>
  <c r="S84" i="9"/>
  <c r="T84" i="9"/>
  <c r="U84" i="9"/>
  <c r="V84" i="9"/>
  <c r="O85" i="9"/>
  <c r="P85" i="9"/>
  <c r="Q85" i="9"/>
  <c r="R85" i="9"/>
  <c r="S85" i="9"/>
  <c r="T85" i="9"/>
  <c r="U85" i="9"/>
  <c r="V85" i="9"/>
  <c r="O86" i="9"/>
  <c r="P86" i="9"/>
  <c r="Q86" i="9"/>
  <c r="R86" i="9"/>
  <c r="S86" i="9"/>
  <c r="T86" i="9"/>
  <c r="U86" i="9"/>
  <c r="V86" i="9"/>
  <c r="O87" i="9"/>
  <c r="P87" i="9"/>
  <c r="Q87" i="9"/>
  <c r="R87" i="9"/>
  <c r="S87" i="9"/>
  <c r="T87" i="9"/>
  <c r="U87" i="9"/>
  <c r="V87" i="9"/>
  <c r="E88" i="9"/>
  <c r="H88" i="9"/>
  <c r="K88" i="9"/>
  <c r="M88" i="9"/>
  <c r="N88" i="9"/>
  <c r="Q88" i="9"/>
  <c r="R88" i="9"/>
  <c r="S88" i="9"/>
  <c r="T88" i="9"/>
  <c r="U88" i="9"/>
  <c r="V88" i="9"/>
  <c r="N89" i="9"/>
  <c r="C3" i="10"/>
  <c r="E8" i="10"/>
  <c r="H8" i="10"/>
  <c r="K8" i="10"/>
  <c r="N8" i="10"/>
  <c r="S8" i="10"/>
  <c r="O9" i="10"/>
  <c r="O10" i="10"/>
  <c r="P10" i="10"/>
  <c r="Q10" i="10"/>
  <c r="R10" i="10"/>
  <c r="S10" i="10"/>
  <c r="T10" i="10"/>
  <c r="U10" i="10"/>
  <c r="V10" i="10"/>
  <c r="O11" i="10"/>
  <c r="P11" i="10"/>
  <c r="Q11" i="10"/>
  <c r="R11" i="10"/>
  <c r="S11" i="10"/>
  <c r="T11" i="10"/>
  <c r="U11" i="10"/>
  <c r="V11" i="10"/>
  <c r="O12" i="10"/>
  <c r="P12" i="10"/>
  <c r="Q12" i="10"/>
  <c r="R12" i="10"/>
  <c r="S12" i="10"/>
  <c r="T12" i="10"/>
  <c r="U12" i="10"/>
  <c r="V12" i="10"/>
  <c r="O13" i="10"/>
  <c r="P13" i="10"/>
  <c r="Q13" i="10"/>
  <c r="R13" i="10"/>
  <c r="S13" i="10"/>
  <c r="T13" i="10"/>
  <c r="U13" i="10"/>
  <c r="V13" i="10"/>
  <c r="O14" i="10"/>
  <c r="P14" i="10"/>
  <c r="Q14" i="10"/>
  <c r="R14" i="10"/>
  <c r="S14" i="10"/>
  <c r="T14" i="10"/>
  <c r="U14" i="10"/>
  <c r="V14" i="10"/>
  <c r="O15" i="10"/>
  <c r="P15" i="10"/>
  <c r="Q15" i="10"/>
  <c r="R15" i="10"/>
  <c r="S15" i="10"/>
  <c r="T15" i="10"/>
  <c r="U15" i="10"/>
  <c r="V15" i="10"/>
  <c r="O16" i="10"/>
  <c r="P16" i="10"/>
  <c r="Q16" i="10"/>
  <c r="R16" i="10"/>
  <c r="S16" i="10"/>
  <c r="T16" i="10"/>
  <c r="U16" i="10"/>
  <c r="V16" i="10"/>
  <c r="O17" i="10"/>
  <c r="P17" i="10"/>
  <c r="Q17" i="10"/>
  <c r="R17" i="10"/>
  <c r="S17" i="10"/>
  <c r="T17" i="10"/>
  <c r="U17" i="10"/>
  <c r="V17" i="10"/>
  <c r="O18" i="10"/>
  <c r="P18" i="10"/>
  <c r="Q18" i="10"/>
  <c r="R18" i="10"/>
  <c r="S18" i="10"/>
  <c r="T18" i="10"/>
  <c r="U18" i="10"/>
  <c r="V18" i="10"/>
  <c r="O19" i="10"/>
  <c r="P19" i="10"/>
  <c r="Q19" i="10"/>
  <c r="R19" i="10"/>
  <c r="S19" i="10"/>
  <c r="T19" i="10"/>
  <c r="U19" i="10"/>
  <c r="V19" i="10"/>
  <c r="O20" i="10"/>
  <c r="P20" i="10"/>
  <c r="Q20" i="10"/>
  <c r="R20" i="10"/>
  <c r="S20" i="10"/>
  <c r="T20" i="10"/>
  <c r="U20" i="10"/>
  <c r="V20" i="10"/>
  <c r="O21" i="10"/>
  <c r="P21" i="10"/>
  <c r="Q21" i="10"/>
  <c r="R21" i="10"/>
  <c r="S21" i="10"/>
  <c r="T21" i="10"/>
  <c r="U21" i="10"/>
  <c r="V21" i="10"/>
  <c r="O22" i="10"/>
  <c r="P22" i="10"/>
  <c r="Q22" i="10"/>
  <c r="R22" i="10"/>
  <c r="S22" i="10"/>
  <c r="T22" i="10"/>
  <c r="U22" i="10"/>
  <c r="V22" i="10"/>
  <c r="O23" i="10"/>
  <c r="P23" i="10"/>
  <c r="Q23" i="10"/>
  <c r="R23" i="10"/>
  <c r="S23" i="10"/>
  <c r="T23" i="10"/>
  <c r="U23" i="10"/>
  <c r="V23" i="10"/>
  <c r="O24" i="10"/>
  <c r="P24" i="10"/>
  <c r="Q24" i="10"/>
  <c r="R24" i="10"/>
  <c r="S24" i="10"/>
  <c r="T24" i="10"/>
  <c r="U24" i="10"/>
  <c r="V24" i="10"/>
  <c r="O25" i="10"/>
  <c r="P25" i="10"/>
  <c r="Q25" i="10"/>
  <c r="R25" i="10"/>
  <c r="S25" i="10"/>
  <c r="T25" i="10"/>
  <c r="U25" i="10"/>
  <c r="V25" i="10"/>
  <c r="O26" i="10"/>
  <c r="P26" i="10"/>
  <c r="Q26" i="10"/>
  <c r="R26" i="10"/>
  <c r="S26" i="10"/>
  <c r="T26" i="10"/>
  <c r="U26" i="10"/>
  <c r="V26" i="10"/>
  <c r="O27" i="10"/>
  <c r="P27" i="10"/>
  <c r="Q27" i="10"/>
  <c r="R27" i="10"/>
  <c r="S27" i="10"/>
  <c r="T27" i="10"/>
  <c r="U27" i="10"/>
  <c r="V27" i="10"/>
  <c r="O28" i="10"/>
  <c r="P28" i="10"/>
  <c r="Q28" i="10"/>
  <c r="R28" i="10"/>
  <c r="S28" i="10"/>
  <c r="T28" i="10"/>
  <c r="U28" i="10"/>
  <c r="V28" i="10"/>
  <c r="O29" i="10"/>
  <c r="P29" i="10"/>
  <c r="Q29" i="10"/>
  <c r="R29" i="10"/>
  <c r="S29" i="10"/>
  <c r="T29" i="10"/>
  <c r="U29" i="10"/>
  <c r="V29" i="10"/>
  <c r="O30" i="10"/>
  <c r="P30" i="10"/>
  <c r="Q30" i="10"/>
  <c r="R30" i="10"/>
  <c r="S30" i="10"/>
  <c r="T30" i="10"/>
  <c r="U30" i="10"/>
  <c r="V30" i="10"/>
  <c r="O31" i="10"/>
  <c r="P31" i="10"/>
  <c r="Q31" i="10"/>
  <c r="R31" i="10"/>
  <c r="S31" i="10"/>
  <c r="T31" i="10"/>
  <c r="U31" i="10"/>
  <c r="V31" i="10"/>
  <c r="O32" i="10"/>
  <c r="P32" i="10"/>
  <c r="Q32" i="10"/>
  <c r="R32" i="10"/>
  <c r="S32" i="10"/>
  <c r="T32" i="10"/>
  <c r="U32" i="10"/>
  <c r="V32" i="10"/>
  <c r="O33" i="10"/>
  <c r="P33" i="10"/>
  <c r="Q33" i="10"/>
  <c r="R33" i="10"/>
  <c r="S33" i="10"/>
  <c r="T33" i="10"/>
  <c r="U33" i="10"/>
  <c r="V33" i="10"/>
  <c r="O34" i="10"/>
  <c r="P34" i="10"/>
  <c r="Q34" i="10"/>
  <c r="R34" i="10"/>
  <c r="S34" i="10"/>
  <c r="T34" i="10"/>
  <c r="U34" i="10"/>
  <c r="V34" i="10"/>
  <c r="O35" i="10"/>
  <c r="P35" i="10"/>
  <c r="Q35" i="10"/>
  <c r="R35" i="10"/>
  <c r="S35" i="10"/>
  <c r="T35" i="10"/>
  <c r="U35" i="10"/>
  <c r="V35" i="10"/>
  <c r="O36" i="10"/>
  <c r="P36" i="10"/>
  <c r="Q36" i="10"/>
  <c r="R36" i="10"/>
  <c r="S36" i="10"/>
  <c r="T36" i="10"/>
  <c r="U36" i="10"/>
  <c r="V36" i="10"/>
  <c r="O37" i="10"/>
  <c r="P37" i="10"/>
  <c r="Q37" i="10"/>
  <c r="R37" i="10"/>
  <c r="S37" i="10"/>
  <c r="T37" i="10"/>
  <c r="U37" i="10"/>
  <c r="V37" i="10"/>
  <c r="O38" i="10"/>
  <c r="P38" i="10"/>
  <c r="Q38" i="10"/>
  <c r="R38" i="10"/>
  <c r="S38" i="10"/>
  <c r="T38" i="10"/>
  <c r="U38" i="10"/>
  <c r="V38" i="10"/>
  <c r="O39" i="10"/>
  <c r="P39" i="10"/>
  <c r="Q39" i="10"/>
  <c r="R39" i="10"/>
  <c r="S39" i="10"/>
  <c r="T39" i="10"/>
  <c r="U39" i="10"/>
  <c r="V39" i="10"/>
  <c r="O40" i="10"/>
  <c r="P40" i="10"/>
  <c r="Q40" i="10"/>
  <c r="R40" i="10"/>
  <c r="S40" i="10"/>
  <c r="T40" i="10"/>
  <c r="U40" i="10"/>
  <c r="V40" i="10"/>
  <c r="O41" i="10"/>
  <c r="P41" i="10"/>
  <c r="Q41" i="10"/>
  <c r="R41" i="10"/>
  <c r="S41" i="10"/>
  <c r="T41" i="10"/>
  <c r="U41" i="10"/>
  <c r="V41" i="10"/>
  <c r="O42" i="10"/>
  <c r="P42" i="10"/>
  <c r="Q42" i="10"/>
  <c r="R42" i="10"/>
  <c r="S42" i="10"/>
  <c r="T42" i="10"/>
  <c r="U42" i="10"/>
  <c r="V42" i="10"/>
  <c r="O43" i="10"/>
  <c r="P43" i="10"/>
  <c r="Q43" i="10"/>
  <c r="R43" i="10"/>
  <c r="S43" i="10"/>
  <c r="T43" i="10"/>
  <c r="U43" i="10"/>
  <c r="V43" i="10"/>
  <c r="O44" i="10"/>
  <c r="P44" i="10"/>
  <c r="Q44" i="10"/>
  <c r="R44" i="10"/>
  <c r="S44" i="10"/>
  <c r="T44" i="10"/>
  <c r="U44" i="10"/>
  <c r="V44" i="10"/>
  <c r="O45" i="10"/>
  <c r="P45" i="10"/>
  <c r="Q45" i="10"/>
  <c r="R45" i="10"/>
  <c r="S45" i="10"/>
  <c r="T45" i="10"/>
  <c r="U45" i="10"/>
  <c r="V45" i="10"/>
  <c r="O46" i="10"/>
  <c r="P46" i="10"/>
  <c r="Q46" i="10"/>
  <c r="R46" i="10"/>
  <c r="S46" i="10"/>
  <c r="T46" i="10"/>
  <c r="U46" i="10"/>
  <c r="V46" i="10"/>
  <c r="O47" i="10"/>
  <c r="P47" i="10"/>
  <c r="Q47" i="10"/>
  <c r="R47" i="10"/>
  <c r="S47" i="10"/>
  <c r="T47" i="10"/>
  <c r="U47" i="10"/>
  <c r="V47" i="10"/>
  <c r="O48" i="10"/>
  <c r="P48" i="10"/>
  <c r="Q48" i="10"/>
  <c r="R48" i="10"/>
  <c r="S48" i="10"/>
  <c r="T48" i="10"/>
  <c r="U48" i="10"/>
  <c r="V48" i="10"/>
  <c r="O49" i="10"/>
  <c r="P49" i="10"/>
  <c r="Q49" i="10"/>
  <c r="R49" i="10"/>
  <c r="S49" i="10"/>
  <c r="T49" i="10"/>
  <c r="U49" i="10"/>
  <c r="V49" i="10"/>
  <c r="O50" i="10"/>
  <c r="P50" i="10"/>
  <c r="Q50" i="10"/>
  <c r="R50" i="10"/>
  <c r="S50" i="10"/>
  <c r="T50" i="10"/>
  <c r="U50" i="10"/>
  <c r="V50" i="10"/>
  <c r="O51" i="10"/>
  <c r="P51" i="10"/>
  <c r="Q51" i="10"/>
  <c r="R51" i="10"/>
  <c r="S51" i="10"/>
  <c r="T51" i="10"/>
  <c r="U51" i="10"/>
  <c r="V51" i="10"/>
  <c r="O52" i="10"/>
  <c r="P52" i="10"/>
  <c r="Q52" i="10"/>
  <c r="R52" i="10"/>
  <c r="S52" i="10"/>
  <c r="T52" i="10"/>
  <c r="U52" i="10"/>
  <c r="V52" i="10"/>
  <c r="O53" i="10"/>
  <c r="P53" i="10"/>
  <c r="Q53" i="10"/>
  <c r="R53" i="10"/>
  <c r="S53" i="10"/>
  <c r="T53" i="10"/>
  <c r="U53" i="10"/>
  <c r="V53" i="10"/>
  <c r="O54" i="10"/>
  <c r="P54" i="10"/>
  <c r="Q54" i="10"/>
  <c r="R54" i="10"/>
  <c r="S54" i="10"/>
  <c r="T54" i="10"/>
  <c r="U54" i="10"/>
  <c r="V54" i="10"/>
  <c r="O55" i="10"/>
  <c r="P55" i="10"/>
  <c r="Q55" i="10"/>
  <c r="R55" i="10"/>
  <c r="S55" i="10"/>
  <c r="T55" i="10"/>
  <c r="U55" i="10"/>
  <c r="V55" i="10"/>
  <c r="O56" i="10"/>
  <c r="P56" i="10"/>
  <c r="Q56" i="10"/>
  <c r="R56" i="10"/>
  <c r="S56" i="10"/>
  <c r="T56" i="10"/>
  <c r="U56" i="10"/>
  <c r="V56" i="10"/>
  <c r="O57" i="10"/>
  <c r="P57" i="10"/>
  <c r="Q57" i="10"/>
  <c r="R57" i="10"/>
  <c r="S57" i="10"/>
  <c r="T57" i="10"/>
  <c r="U57" i="10"/>
  <c r="V57" i="10"/>
  <c r="O58" i="10"/>
  <c r="P58" i="10"/>
  <c r="Q58" i="10"/>
  <c r="R58" i="10"/>
  <c r="S58" i="10"/>
  <c r="T58" i="10"/>
  <c r="U58" i="10"/>
  <c r="V58" i="10"/>
  <c r="O59" i="10"/>
  <c r="P59" i="10"/>
  <c r="Q59" i="10"/>
  <c r="R59" i="10"/>
  <c r="S59" i="10"/>
  <c r="T59" i="10"/>
  <c r="U59" i="10"/>
  <c r="V59" i="10"/>
  <c r="O60" i="10"/>
  <c r="P60" i="10"/>
  <c r="Q60" i="10"/>
  <c r="R60" i="10"/>
  <c r="S60" i="10"/>
  <c r="T60" i="10"/>
  <c r="U60" i="10"/>
  <c r="V60" i="10"/>
  <c r="O61" i="10"/>
  <c r="P61" i="10"/>
  <c r="Q61" i="10"/>
  <c r="R61" i="10"/>
  <c r="S61" i="10"/>
  <c r="T61" i="10"/>
  <c r="U61" i="10"/>
  <c r="V61" i="10"/>
  <c r="O62" i="10"/>
  <c r="P62" i="10"/>
  <c r="Q62" i="10"/>
  <c r="R62" i="10"/>
  <c r="S62" i="10"/>
  <c r="T62" i="10"/>
  <c r="U62" i="10"/>
  <c r="V62" i="10"/>
  <c r="O63" i="10"/>
  <c r="P63" i="10"/>
  <c r="Q63" i="10"/>
  <c r="R63" i="10"/>
  <c r="S63" i="10"/>
  <c r="T63" i="10"/>
  <c r="U63" i="10"/>
  <c r="V63" i="10"/>
  <c r="O64" i="10"/>
  <c r="P64" i="10"/>
  <c r="Q64" i="10"/>
  <c r="R64" i="10"/>
  <c r="S64" i="10"/>
  <c r="T64" i="10"/>
  <c r="U64" i="10"/>
  <c r="V64" i="10"/>
  <c r="O65" i="10"/>
  <c r="P65" i="10"/>
  <c r="Q65" i="10"/>
  <c r="R65" i="10"/>
  <c r="S65" i="10"/>
  <c r="T65" i="10"/>
  <c r="U65" i="10"/>
  <c r="V65" i="10"/>
  <c r="O66" i="10"/>
  <c r="P66" i="10"/>
  <c r="Q66" i="10"/>
  <c r="R66" i="10"/>
  <c r="S66" i="10"/>
  <c r="T66" i="10"/>
  <c r="U66" i="10"/>
  <c r="V66" i="10"/>
  <c r="O67" i="10"/>
  <c r="P67" i="10"/>
  <c r="Q67" i="10"/>
  <c r="R67" i="10"/>
  <c r="S67" i="10"/>
  <c r="T67" i="10"/>
  <c r="U67" i="10"/>
  <c r="V67" i="10"/>
  <c r="O68" i="10"/>
  <c r="P68" i="10"/>
  <c r="Q68" i="10"/>
  <c r="R68" i="10"/>
  <c r="S68" i="10"/>
  <c r="T68" i="10"/>
  <c r="U68" i="10"/>
  <c r="V68" i="10"/>
  <c r="O69" i="10"/>
  <c r="P69" i="10"/>
  <c r="Q69" i="10"/>
  <c r="R69" i="10"/>
  <c r="S69" i="10"/>
  <c r="T69" i="10"/>
  <c r="U69" i="10"/>
  <c r="V69" i="10"/>
  <c r="O70" i="10"/>
  <c r="P70" i="10"/>
  <c r="Q70" i="10"/>
  <c r="R70" i="10"/>
  <c r="S70" i="10"/>
  <c r="T70" i="10"/>
  <c r="U70" i="10"/>
  <c r="V70" i="10"/>
  <c r="O71" i="10"/>
  <c r="P71" i="10"/>
  <c r="Q71" i="10"/>
  <c r="R71" i="10"/>
  <c r="S71" i="10"/>
  <c r="T71" i="10"/>
  <c r="U71" i="10"/>
  <c r="V71" i="10"/>
  <c r="O72" i="10"/>
  <c r="P72" i="10"/>
  <c r="Q72" i="10"/>
  <c r="R72" i="10"/>
  <c r="S72" i="10"/>
  <c r="T72" i="10"/>
  <c r="U72" i="10"/>
  <c r="V72" i="10"/>
  <c r="O73" i="10"/>
  <c r="P73" i="10"/>
  <c r="Q73" i="10"/>
  <c r="R73" i="10"/>
  <c r="S73" i="10"/>
  <c r="T73" i="10"/>
  <c r="U73" i="10"/>
  <c r="V73" i="10"/>
  <c r="O74" i="10"/>
  <c r="P74" i="10"/>
  <c r="Q74" i="10"/>
  <c r="R74" i="10"/>
  <c r="S74" i="10"/>
  <c r="T74" i="10"/>
  <c r="U74" i="10"/>
  <c r="V74" i="10"/>
  <c r="O75" i="10"/>
  <c r="P75" i="10"/>
  <c r="Q75" i="10"/>
  <c r="R75" i="10"/>
  <c r="S75" i="10"/>
  <c r="T75" i="10"/>
  <c r="U75" i="10"/>
  <c r="V75" i="10"/>
  <c r="O76" i="10"/>
  <c r="P76" i="10"/>
  <c r="Q76" i="10"/>
  <c r="R76" i="10"/>
  <c r="S76" i="10"/>
  <c r="T76" i="10"/>
  <c r="U76" i="10"/>
  <c r="V76" i="10"/>
  <c r="O77" i="10"/>
  <c r="P77" i="10"/>
  <c r="Q77" i="10"/>
  <c r="R77" i="10"/>
  <c r="S77" i="10"/>
  <c r="T77" i="10"/>
  <c r="U77" i="10"/>
  <c r="V77" i="10"/>
  <c r="O78" i="10"/>
  <c r="P78" i="10"/>
  <c r="Q78" i="10"/>
  <c r="R78" i="10"/>
  <c r="S78" i="10"/>
  <c r="T78" i="10"/>
  <c r="U78" i="10"/>
  <c r="V78" i="10"/>
  <c r="O79" i="10"/>
  <c r="P79" i="10"/>
  <c r="Q79" i="10"/>
  <c r="R79" i="10"/>
  <c r="S79" i="10"/>
  <c r="T79" i="10"/>
  <c r="U79" i="10"/>
  <c r="V79" i="10"/>
  <c r="O80" i="10"/>
  <c r="P80" i="10"/>
  <c r="Q80" i="10"/>
  <c r="R80" i="10"/>
  <c r="S80" i="10"/>
  <c r="T80" i="10"/>
  <c r="U80" i="10"/>
  <c r="V80" i="10"/>
  <c r="O81" i="10"/>
  <c r="P81" i="10"/>
  <c r="Q81" i="10"/>
  <c r="R81" i="10"/>
  <c r="S81" i="10"/>
  <c r="T81" i="10"/>
  <c r="U81" i="10"/>
  <c r="V81" i="10"/>
  <c r="O82" i="10"/>
  <c r="P82" i="10"/>
  <c r="Q82" i="10"/>
  <c r="R82" i="10"/>
  <c r="S82" i="10"/>
  <c r="T82" i="10"/>
  <c r="U82" i="10"/>
  <c r="V82" i="10"/>
  <c r="O83" i="10"/>
  <c r="P83" i="10"/>
  <c r="Q83" i="10"/>
  <c r="R83" i="10"/>
  <c r="S83" i="10"/>
  <c r="T83" i="10"/>
  <c r="U83" i="10"/>
  <c r="V83" i="10"/>
  <c r="O84" i="10"/>
  <c r="P84" i="10"/>
  <c r="Q84" i="10"/>
  <c r="R84" i="10"/>
  <c r="S84" i="10"/>
  <c r="T84" i="10"/>
  <c r="U84" i="10"/>
  <c r="V84" i="10"/>
  <c r="O85" i="10"/>
  <c r="P85" i="10"/>
  <c r="Q85" i="10"/>
  <c r="R85" i="10"/>
  <c r="S85" i="10"/>
  <c r="T85" i="10"/>
  <c r="U85" i="10"/>
  <c r="V85" i="10"/>
  <c r="O86" i="10"/>
  <c r="P86" i="10"/>
  <c r="Q86" i="10"/>
  <c r="R86" i="10"/>
  <c r="S86" i="10"/>
  <c r="T86" i="10"/>
  <c r="U86" i="10"/>
  <c r="V86" i="10"/>
  <c r="O87" i="10"/>
  <c r="P87" i="10"/>
  <c r="Q87" i="10"/>
  <c r="R87" i="10"/>
  <c r="S87" i="10"/>
  <c r="T87" i="10"/>
  <c r="U87" i="10"/>
  <c r="V87" i="10"/>
  <c r="E88" i="10"/>
  <c r="H88" i="10"/>
  <c r="K88" i="10"/>
  <c r="M88" i="10"/>
  <c r="N88" i="10"/>
  <c r="Q88" i="10"/>
  <c r="R88" i="10"/>
  <c r="S88" i="10"/>
  <c r="T88" i="10"/>
  <c r="U88" i="10"/>
  <c r="V88" i="10"/>
  <c r="N89" i="10"/>
  <c r="AU3" i="1"/>
  <c r="BE3" i="1"/>
  <c r="BV3" i="1"/>
  <c r="D5" i="1"/>
  <c r="E5" i="1"/>
  <c r="G5" i="1"/>
  <c r="D6" i="1"/>
  <c r="F6" i="1"/>
  <c r="A7" i="1"/>
  <c r="B7" i="1"/>
  <c r="C7" i="1"/>
  <c r="D7" i="1"/>
  <c r="E7" i="1"/>
  <c r="F7" i="1"/>
  <c r="G7" i="1"/>
  <c r="K7" i="1"/>
  <c r="L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A7" i="1"/>
  <c r="AB7" i="1"/>
  <c r="AC7" i="1"/>
  <c r="AD7" i="1"/>
  <c r="AE7" i="1"/>
  <c r="AF7" i="1"/>
  <c r="AG7" i="1"/>
  <c r="AH7" i="1"/>
  <c r="AI7" i="1"/>
  <c r="AM7" i="1"/>
  <c r="AN7" i="1"/>
  <c r="AO7" i="1"/>
  <c r="AP7" i="1"/>
  <c r="AQ7" i="1"/>
  <c r="AR7" i="1"/>
  <c r="AS7" i="1"/>
  <c r="AT7" i="1"/>
  <c r="AU7" i="1"/>
  <c r="AV7" i="1"/>
  <c r="AW7" i="1"/>
  <c r="AX7" i="1"/>
  <c r="AZ7" i="1"/>
  <c r="BA7" i="1"/>
  <c r="BB7" i="1"/>
  <c r="BC7" i="1"/>
  <c r="BD7" i="1"/>
  <c r="BE7" i="1"/>
  <c r="BF7" i="1"/>
  <c r="BG7" i="1"/>
  <c r="BH7" i="1"/>
  <c r="BI7" i="1"/>
  <c r="BJ7" i="1"/>
  <c r="BK7" i="1"/>
  <c r="BO7" i="1"/>
  <c r="BP7" i="1"/>
  <c r="BQ7" i="1"/>
  <c r="BR7" i="1"/>
  <c r="BS7" i="1"/>
  <c r="BT7" i="1"/>
  <c r="BU7" i="1"/>
  <c r="BV7" i="1"/>
  <c r="BW7" i="1"/>
  <c r="BX7" i="1"/>
  <c r="BY7" i="1"/>
  <c r="BZ7" i="1"/>
  <c r="A8" i="1"/>
  <c r="B8" i="1"/>
  <c r="C8" i="1"/>
  <c r="D8" i="1"/>
  <c r="E8" i="1"/>
  <c r="F8" i="1"/>
  <c r="G8" i="1"/>
  <c r="K8" i="1"/>
  <c r="L8" i="1"/>
  <c r="M8" i="1"/>
  <c r="N8" i="1"/>
  <c r="O8" i="1"/>
  <c r="P8" i="1"/>
  <c r="Q8" i="1"/>
  <c r="R8" i="1"/>
  <c r="S8" i="1"/>
  <c r="T8" i="1"/>
  <c r="U8" i="1"/>
  <c r="V8" i="1"/>
  <c r="X8" i="1"/>
  <c r="Y8" i="1"/>
  <c r="Z8" i="1"/>
  <c r="AA8" i="1"/>
  <c r="AB8" i="1"/>
  <c r="AC8" i="1"/>
  <c r="AD8" i="1"/>
  <c r="AE8" i="1"/>
  <c r="AF8" i="1"/>
  <c r="AG8" i="1"/>
  <c r="AH8" i="1"/>
  <c r="AI8" i="1"/>
  <c r="AM8" i="1"/>
  <c r="AN8" i="1"/>
  <c r="AO8" i="1"/>
  <c r="AP8" i="1"/>
  <c r="AQ8" i="1"/>
  <c r="AR8" i="1"/>
  <c r="AS8" i="1"/>
  <c r="AT8" i="1"/>
  <c r="AU8" i="1"/>
  <c r="AV8" i="1"/>
  <c r="AW8" i="1"/>
  <c r="AX8" i="1"/>
  <c r="AZ8" i="1"/>
  <c r="BA8" i="1"/>
  <c r="BB8" i="1"/>
  <c r="BC8" i="1"/>
  <c r="BD8" i="1"/>
  <c r="BE8" i="1"/>
  <c r="BF8" i="1"/>
  <c r="BG8" i="1"/>
  <c r="BH8" i="1"/>
  <c r="BI8" i="1"/>
  <c r="BJ8" i="1"/>
  <c r="BK8" i="1"/>
  <c r="BO8" i="1"/>
  <c r="BP8" i="1"/>
  <c r="BQ8" i="1"/>
  <c r="BR8" i="1"/>
  <c r="BS8" i="1"/>
  <c r="BT8" i="1"/>
  <c r="BU8" i="1"/>
  <c r="BV8" i="1"/>
  <c r="BW8" i="1"/>
  <c r="BX8" i="1"/>
  <c r="BY8" i="1"/>
  <c r="BZ8" i="1"/>
  <c r="A9" i="1"/>
  <c r="B9" i="1"/>
  <c r="C9" i="1"/>
  <c r="D9" i="1"/>
  <c r="E9" i="1"/>
  <c r="F9" i="1"/>
  <c r="G9" i="1"/>
  <c r="K9" i="1"/>
  <c r="L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A9" i="1"/>
  <c r="AB9" i="1"/>
  <c r="AC9" i="1"/>
  <c r="AD9" i="1"/>
  <c r="AE9" i="1"/>
  <c r="AF9" i="1"/>
  <c r="AG9" i="1"/>
  <c r="AH9" i="1"/>
  <c r="AI9" i="1"/>
  <c r="AM9" i="1"/>
  <c r="AN9" i="1"/>
  <c r="AO9" i="1"/>
  <c r="AP9" i="1"/>
  <c r="AQ9" i="1"/>
  <c r="AR9" i="1"/>
  <c r="AS9" i="1"/>
  <c r="AT9" i="1"/>
  <c r="AU9" i="1"/>
  <c r="AV9" i="1"/>
  <c r="AW9" i="1"/>
  <c r="AX9" i="1"/>
  <c r="AZ9" i="1"/>
  <c r="BA9" i="1"/>
  <c r="BB9" i="1"/>
  <c r="BC9" i="1"/>
  <c r="BD9" i="1"/>
  <c r="BE9" i="1"/>
  <c r="BF9" i="1"/>
  <c r="BG9" i="1"/>
  <c r="BH9" i="1"/>
  <c r="BI9" i="1"/>
  <c r="BJ9" i="1"/>
  <c r="BK9" i="1"/>
  <c r="BO9" i="1"/>
  <c r="BP9" i="1"/>
  <c r="BQ9" i="1"/>
  <c r="BR9" i="1"/>
  <c r="BS9" i="1"/>
  <c r="BT9" i="1"/>
  <c r="BU9" i="1"/>
  <c r="BV9" i="1"/>
  <c r="BW9" i="1"/>
  <c r="BX9" i="1"/>
  <c r="BY9" i="1"/>
  <c r="BZ9" i="1"/>
  <c r="A10" i="1"/>
  <c r="B10" i="1"/>
  <c r="C10" i="1"/>
  <c r="D10" i="1"/>
  <c r="E10" i="1"/>
  <c r="F10" i="1"/>
  <c r="G10" i="1"/>
  <c r="K10" i="1"/>
  <c r="L10" i="1"/>
  <c r="M10" i="1"/>
  <c r="N10" i="1"/>
  <c r="O10" i="1"/>
  <c r="P10" i="1"/>
  <c r="Q10" i="1"/>
  <c r="R10" i="1"/>
  <c r="S10" i="1"/>
  <c r="T10" i="1"/>
  <c r="U10" i="1"/>
  <c r="V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A11" i="1"/>
  <c r="B11" i="1"/>
  <c r="C11" i="1"/>
  <c r="D11" i="1"/>
  <c r="E11" i="1"/>
  <c r="F11" i="1"/>
  <c r="G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A12" i="1"/>
  <c r="B12" i="1"/>
  <c r="C12" i="1"/>
  <c r="D12" i="1"/>
  <c r="E12" i="1"/>
  <c r="F12" i="1"/>
  <c r="G12" i="1"/>
  <c r="K12" i="1"/>
  <c r="L12" i="1"/>
  <c r="M12" i="1"/>
  <c r="N12" i="1"/>
  <c r="O12" i="1"/>
  <c r="P12" i="1"/>
  <c r="Q12" i="1"/>
  <c r="R12" i="1"/>
  <c r="S12" i="1"/>
  <c r="T12" i="1"/>
  <c r="U12" i="1"/>
  <c r="V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A13" i="1"/>
  <c r="B13" i="1"/>
  <c r="C13" i="1"/>
  <c r="D13" i="1"/>
  <c r="E13" i="1"/>
  <c r="F13" i="1"/>
  <c r="G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A14" i="1"/>
  <c r="B14" i="1"/>
  <c r="C14" i="1"/>
  <c r="D14" i="1"/>
  <c r="E14" i="1"/>
  <c r="F14" i="1"/>
  <c r="G14" i="1"/>
  <c r="K14" i="1"/>
  <c r="L14" i="1"/>
  <c r="M14" i="1"/>
  <c r="N14" i="1"/>
  <c r="O14" i="1"/>
  <c r="P14" i="1"/>
  <c r="Q14" i="1"/>
  <c r="R14" i="1"/>
  <c r="S14" i="1"/>
  <c r="T14" i="1"/>
  <c r="U14" i="1"/>
  <c r="V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A15" i="1"/>
  <c r="B15" i="1"/>
  <c r="C15" i="1"/>
  <c r="D15" i="1"/>
  <c r="E15" i="1"/>
  <c r="F15" i="1"/>
  <c r="G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A16" i="1"/>
  <c r="B16" i="1"/>
  <c r="C16" i="1"/>
  <c r="D16" i="1"/>
  <c r="E16" i="1"/>
  <c r="F16" i="1"/>
  <c r="G16" i="1"/>
  <c r="K16" i="1"/>
  <c r="L16" i="1"/>
  <c r="M16" i="1"/>
  <c r="N16" i="1"/>
  <c r="O16" i="1"/>
  <c r="P16" i="1"/>
  <c r="Q16" i="1"/>
  <c r="R16" i="1"/>
  <c r="S16" i="1"/>
  <c r="T16" i="1"/>
  <c r="U16" i="1"/>
  <c r="V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A17" i="1"/>
  <c r="B17" i="1"/>
  <c r="C17" i="1"/>
  <c r="D17" i="1"/>
  <c r="E17" i="1"/>
  <c r="F17" i="1"/>
  <c r="G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A18" i="1"/>
  <c r="B18" i="1"/>
  <c r="C18" i="1"/>
  <c r="D18" i="1"/>
  <c r="E18" i="1"/>
  <c r="F18" i="1"/>
  <c r="G18" i="1"/>
  <c r="K18" i="1"/>
  <c r="L18" i="1"/>
  <c r="M18" i="1"/>
  <c r="N18" i="1"/>
  <c r="O18" i="1"/>
  <c r="P18" i="1"/>
  <c r="Q18" i="1"/>
  <c r="R18" i="1"/>
  <c r="S18" i="1"/>
  <c r="T18" i="1"/>
  <c r="U18" i="1"/>
  <c r="V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A19" i="1"/>
  <c r="B19" i="1"/>
  <c r="C19" i="1"/>
  <c r="D19" i="1"/>
  <c r="E19" i="1"/>
  <c r="F19" i="1"/>
  <c r="G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A20" i="1"/>
  <c r="B20" i="1"/>
  <c r="C20" i="1"/>
  <c r="D20" i="1"/>
  <c r="E20" i="1"/>
  <c r="F20" i="1"/>
  <c r="G20" i="1"/>
  <c r="K20" i="1"/>
  <c r="L20" i="1"/>
  <c r="M20" i="1"/>
  <c r="N20" i="1"/>
  <c r="O20" i="1"/>
  <c r="P20" i="1"/>
  <c r="Q20" i="1"/>
  <c r="R20" i="1"/>
  <c r="S20" i="1"/>
  <c r="T20" i="1"/>
  <c r="U20" i="1"/>
  <c r="V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A21" i="1"/>
  <c r="B21" i="1"/>
  <c r="C21" i="1"/>
  <c r="D21" i="1"/>
  <c r="E21" i="1"/>
  <c r="F21" i="1"/>
  <c r="G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A22" i="1"/>
  <c r="B22" i="1"/>
  <c r="C22" i="1"/>
  <c r="D22" i="1"/>
  <c r="E22" i="1"/>
  <c r="F22" i="1"/>
  <c r="G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A23" i="1"/>
  <c r="B23" i="1"/>
  <c r="C23" i="1"/>
  <c r="D23" i="1"/>
  <c r="E23" i="1"/>
  <c r="F23" i="1"/>
  <c r="G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A24" i="1"/>
  <c r="B24" i="1"/>
  <c r="C24" i="1"/>
  <c r="D24" i="1"/>
  <c r="E24" i="1"/>
  <c r="F24" i="1"/>
  <c r="G24" i="1"/>
  <c r="K24" i="1"/>
  <c r="L24" i="1"/>
  <c r="M24" i="1"/>
  <c r="N24" i="1"/>
  <c r="O24" i="1"/>
  <c r="P24" i="1"/>
  <c r="Q24" i="1"/>
  <c r="R24" i="1"/>
  <c r="S24" i="1"/>
  <c r="T24" i="1"/>
  <c r="U24" i="1"/>
  <c r="V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A25" i="1"/>
  <c r="B25" i="1"/>
  <c r="C25" i="1"/>
  <c r="D25" i="1"/>
  <c r="E25" i="1"/>
  <c r="F25" i="1"/>
  <c r="G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A26" i="1"/>
  <c r="B26" i="1"/>
  <c r="C26" i="1"/>
  <c r="D26" i="1"/>
  <c r="E26" i="1"/>
  <c r="F26" i="1"/>
  <c r="G26" i="1"/>
  <c r="K26" i="1"/>
  <c r="L26" i="1"/>
  <c r="M26" i="1"/>
  <c r="N26" i="1"/>
  <c r="O26" i="1"/>
  <c r="P26" i="1"/>
  <c r="Q26" i="1"/>
  <c r="R26" i="1"/>
  <c r="S26" i="1"/>
  <c r="T26" i="1"/>
  <c r="U26" i="1"/>
  <c r="V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A27" i="1"/>
  <c r="B27" i="1"/>
  <c r="C27" i="1"/>
  <c r="D27" i="1"/>
  <c r="E27" i="1"/>
  <c r="F27" i="1"/>
  <c r="G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A28" i="1"/>
  <c r="B28" i="1"/>
  <c r="C28" i="1"/>
  <c r="D28" i="1"/>
  <c r="E28" i="1"/>
  <c r="F28" i="1"/>
  <c r="G28" i="1"/>
  <c r="K28" i="1"/>
  <c r="L28" i="1"/>
  <c r="M28" i="1"/>
  <c r="N28" i="1"/>
  <c r="O28" i="1"/>
  <c r="P28" i="1"/>
  <c r="Q28" i="1"/>
  <c r="R28" i="1"/>
  <c r="S28" i="1"/>
  <c r="T28" i="1"/>
  <c r="U28" i="1"/>
  <c r="V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A29" i="1"/>
  <c r="B29" i="1"/>
  <c r="C29" i="1"/>
  <c r="D29" i="1"/>
  <c r="E29" i="1"/>
  <c r="F29" i="1"/>
  <c r="G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A30" i="1"/>
  <c r="B30" i="1"/>
  <c r="C30" i="1"/>
  <c r="D30" i="1"/>
  <c r="E30" i="1"/>
  <c r="F30" i="1"/>
  <c r="G30" i="1"/>
  <c r="K30" i="1"/>
  <c r="L30" i="1"/>
  <c r="M30" i="1"/>
  <c r="N30" i="1"/>
  <c r="O30" i="1"/>
  <c r="P30" i="1"/>
  <c r="Q30" i="1"/>
  <c r="R30" i="1"/>
  <c r="S30" i="1"/>
  <c r="T30" i="1"/>
  <c r="U30" i="1"/>
  <c r="V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A31" i="1"/>
  <c r="B31" i="1"/>
  <c r="C31" i="1"/>
  <c r="D31" i="1"/>
  <c r="E31" i="1"/>
  <c r="F31" i="1"/>
  <c r="G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A32" i="1"/>
  <c r="B32" i="1"/>
  <c r="C32" i="1"/>
  <c r="D32" i="1"/>
  <c r="E32" i="1"/>
  <c r="F32" i="1"/>
  <c r="G32" i="1"/>
  <c r="K32" i="1"/>
  <c r="L32" i="1"/>
  <c r="M32" i="1"/>
  <c r="N32" i="1"/>
  <c r="O32" i="1"/>
  <c r="P32" i="1"/>
  <c r="Q32" i="1"/>
  <c r="R32" i="1"/>
  <c r="S32" i="1"/>
  <c r="T32" i="1"/>
  <c r="U32" i="1"/>
  <c r="V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A33" i="1"/>
  <c r="B33" i="1"/>
  <c r="C33" i="1"/>
  <c r="D33" i="1"/>
  <c r="E33" i="1"/>
  <c r="F33" i="1"/>
  <c r="G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A34" i="1"/>
  <c r="B34" i="1"/>
  <c r="C34" i="1"/>
  <c r="D34" i="1"/>
  <c r="E34" i="1"/>
  <c r="F34" i="1"/>
  <c r="G34" i="1"/>
  <c r="K34" i="1"/>
  <c r="L34" i="1"/>
  <c r="M34" i="1"/>
  <c r="N34" i="1"/>
  <c r="O34" i="1"/>
  <c r="P34" i="1"/>
  <c r="Q34" i="1"/>
  <c r="R34" i="1"/>
  <c r="S34" i="1"/>
  <c r="T34" i="1"/>
  <c r="U34" i="1"/>
  <c r="V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A35" i="1"/>
  <c r="B35" i="1"/>
  <c r="C35" i="1"/>
  <c r="D35" i="1"/>
  <c r="E35" i="1"/>
  <c r="F35" i="1"/>
  <c r="G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A36" i="1"/>
  <c r="B36" i="1"/>
  <c r="C36" i="1"/>
  <c r="D36" i="1"/>
  <c r="E36" i="1"/>
  <c r="F36" i="1"/>
  <c r="G36" i="1"/>
  <c r="K36" i="1"/>
  <c r="L36" i="1"/>
  <c r="M36" i="1"/>
  <c r="N36" i="1"/>
  <c r="O36" i="1"/>
  <c r="P36" i="1"/>
  <c r="Q36" i="1"/>
  <c r="R36" i="1"/>
  <c r="S36" i="1"/>
  <c r="T36" i="1"/>
  <c r="U36" i="1"/>
  <c r="V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A37" i="1"/>
  <c r="B37" i="1"/>
  <c r="C37" i="1"/>
  <c r="D37" i="1"/>
  <c r="E37" i="1"/>
  <c r="F37" i="1"/>
  <c r="G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A38" i="1"/>
  <c r="B38" i="1"/>
  <c r="C38" i="1"/>
  <c r="D38" i="1"/>
  <c r="E38" i="1"/>
  <c r="F38" i="1"/>
  <c r="G38" i="1"/>
  <c r="K38" i="1"/>
  <c r="L38" i="1"/>
  <c r="M38" i="1"/>
  <c r="N38" i="1"/>
  <c r="O38" i="1"/>
  <c r="P38" i="1"/>
  <c r="Q38" i="1"/>
  <c r="R38" i="1"/>
  <c r="S38" i="1"/>
  <c r="T38" i="1"/>
  <c r="U38" i="1"/>
  <c r="V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A39" i="1"/>
  <c r="B39" i="1"/>
  <c r="C39" i="1"/>
  <c r="D39" i="1"/>
  <c r="E39" i="1"/>
  <c r="F39" i="1"/>
  <c r="G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A40" i="1"/>
  <c r="B40" i="1"/>
  <c r="C40" i="1"/>
  <c r="D40" i="1"/>
  <c r="E40" i="1"/>
  <c r="F40" i="1"/>
  <c r="G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A41" i="1"/>
  <c r="B41" i="1"/>
  <c r="C41" i="1"/>
  <c r="D41" i="1"/>
  <c r="E41" i="1"/>
  <c r="F41" i="1"/>
  <c r="G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A42" i="1"/>
  <c r="B42" i="1"/>
  <c r="C42" i="1"/>
  <c r="D42" i="1"/>
  <c r="E42" i="1"/>
  <c r="F42" i="1"/>
  <c r="G42" i="1"/>
  <c r="K42" i="1"/>
  <c r="L42" i="1"/>
  <c r="M42" i="1"/>
  <c r="N42" i="1"/>
  <c r="O42" i="1"/>
  <c r="P42" i="1"/>
  <c r="Q42" i="1"/>
  <c r="R42" i="1"/>
  <c r="S42" i="1"/>
  <c r="T42" i="1"/>
  <c r="U42" i="1"/>
  <c r="V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A43" i="1"/>
  <c r="B43" i="1"/>
  <c r="C43" i="1"/>
  <c r="D43" i="1"/>
  <c r="E43" i="1"/>
  <c r="F43" i="1"/>
  <c r="G43" i="1"/>
  <c r="K43" i="1"/>
  <c r="L43" i="1"/>
  <c r="M43" i="1"/>
  <c r="N43" i="1"/>
  <c r="O43" i="1"/>
  <c r="P43" i="1"/>
  <c r="Q43" i="1"/>
  <c r="R43" i="1"/>
  <c r="S43" i="1"/>
  <c r="T43" i="1"/>
  <c r="U43" i="1"/>
  <c r="V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A44" i="1"/>
  <c r="B44" i="1"/>
  <c r="C44" i="1"/>
  <c r="D44" i="1"/>
  <c r="E44" i="1"/>
  <c r="F44" i="1"/>
  <c r="G44" i="1"/>
  <c r="K44" i="1"/>
  <c r="L44" i="1"/>
  <c r="M44" i="1"/>
  <c r="N44" i="1"/>
  <c r="O44" i="1"/>
  <c r="P44" i="1"/>
  <c r="Q44" i="1"/>
  <c r="R44" i="1"/>
  <c r="S44" i="1"/>
  <c r="T44" i="1"/>
  <c r="U44" i="1"/>
  <c r="V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A45" i="1"/>
  <c r="B45" i="1"/>
  <c r="C45" i="1"/>
  <c r="D45" i="1"/>
  <c r="E45" i="1"/>
  <c r="F45" i="1"/>
  <c r="G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A46" i="1"/>
  <c r="B46" i="1"/>
  <c r="C46" i="1"/>
  <c r="D46" i="1"/>
  <c r="E46" i="1"/>
  <c r="F46" i="1"/>
  <c r="G46" i="1"/>
  <c r="K46" i="1"/>
  <c r="L46" i="1"/>
  <c r="M46" i="1"/>
  <c r="N46" i="1"/>
  <c r="O46" i="1"/>
  <c r="P46" i="1"/>
  <c r="Q46" i="1"/>
  <c r="R46" i="1"/>
  <c r="S46" i="1"/>
  <c r="T46" i="1"/>
  <c r="U46" i="1"/>
  <c r="V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A47" i="1"/>
  <c r="B47" i="1"/>
  <c r="C47" i="1"/>
  <c r="D47" i="1"/>
  <c r="E47" i="1"/>
  <c r="F47" i="1"/>
  <c r="G47" i="1"/>
  <c r="K47" i="1"/>
  <c r="L47" i="1"/>
  <c r="M47" i="1"/>
  <c r="N47" i="1"/>
  <c r="O47" i="1"/>
  <c r="P47" i="1"/>
  <c r="Q47" i="1"/>
  <c r="R47" i="1"/>
  <c r="S47" i="1"/>
  <c r="T47" i="1"/>
  <c r="U47" i="1"/>
  <c r="V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A48" i="1"/>
  <c r="B48" i="1"/>
  <c r="C48" i="1"/>
  <c r="D48" i="1"/>
  <c r="E48" i="1"/>
  <c r="F48" i="1"/>
  <c r="G48" i="1"/>
  <c r="K48" i="1"/>
  <c r="L48" i="1"/>
  <c r="M48" i="1"/>
  <c r="N48" i="1"/>
  <c r="O48" i="1"/>
  <c r="P48" i="1"/>
  <c r="Q48" i="1"/>
  <c r="R48" i="1"/>
  <c r="S48" i="1"/>
  <c r="T48" i="1"/>
  <c r="U48" i="1"/>
  <c r="V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A49" i="1"/>
  <c r="B49" i="1"/>
  <c r="C49" i="1"/>
  <c r="D49" i="1"/>
  <c r="E49" i="1"/>
  <c r="F49" i="1"/>
  <c r="G49" i="1"/>
  <c r="K49" i="1"/>
  <c r="L49" i="1"/>
  <c r="M49" i="1"/>
  <c r="N49" i="1"/>
  <c r="O49" i="1"/>
  <c r="P49" i="1"/>
  <c r="Q49" i="1"/>
  <c r="R49" i="1"/>
  <c r="S49" i="1"/>
  <c r="T49" i="1"/>
  <c r="U49" i="1"/>
  <c r="V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A50" i="1"/>
  <c r="B50" i="1"/>
  <c r="C50" i="1"/>
  <c r="D50" i="1"/>
  <c r="E50" i="1"/>
  <c r="F50" i="1"/>
  <c r="G50" i="1"/>
  <c r="K50" i="1"/>
  <c r="L50" i="1"/>
  <c r="M50" i="1"/>
  <c r="N50" i="1"/>
  <c r="O50" i="1"/>
  <c r="P50" i="1"/>
  <c r="Q50" i="1"/>
  <c r="R50" i="1"/>
  <c r="S50" i="1"/>
  <c r="T50" i="1"/>
  <c r="U50" i="1"/>
  <c r="V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A51" i="1"/>
  <c r="B51" i="1"/>
  <c r="C51" i="1"/>
  <c r="D51" i="1"/>
  <c r="E51" i="1"/>
  <c r="F51" i="1"/>
  <c r="G51" i="1"/>
  <c r="K51" i="1"/>
  <c r="L51" i="1"/>
  <c r="M51" i="1"/>
  <c r="N51" i="1"/>
  <c r="O51" i="1"/>
  <c r="P51" i="1"/>
  <c r="Q51" i="1"/>
  <c r="R51" i="1"/>
  <c r="S51" i="1"/>
  <c r="T51" i="1"/>
  <c r="U51" i="1"/>
  <c r="V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A52" i="1"/>
  <c r="B52" i="1"/>
  <c r="C52" i="1"/>
  <c r="D52" i="1"/>
  <c r="E52" i="1"/>
  <c r="F52" i="1"/>
  <c r="G52" i="1"/>
  <c r="K52" i="1"/>
  <c r="L52" i="1"/>
  <c r="M52" i="1"/>
  <c r="N52" i="1"/>
  <c r="O52" i="1"/>
  <c r="P52" i="1"/>
  <c r="Q52" i="1"/>
  <c r="R52" i="1"/>
  <c r="S52" i="1"/>
  <c r="T52" i="1"/>
  <c r="U52" i="1"/>
  <c r="V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A53" i="1"/>
  <c r="B53" i="1"/>
  <c r="C53" i="1"/>
  <c r="D53" i="1"/>
  <c r="E53" i="1"/>
  <c r="F53" i="1"/>
  <c r="G53" i="1"/>
  <c r="K53" i="1"/>
  <c r="L53" i="1"/>
  <c r="M53" i="1"/>
  <c r="N53" i="1"/>
  <c r="O53" i="1"/>
  <c r="P53" i="1"/>
  <c r="Q53" i="1"/>
  <c r="R53" i="1"/>
  <c r="S53" i="1"/>
  <c r="T53" i="1"/>
  <c r="U53" i="1"/>
  <c r="V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A54" i="1"/>
  <c r="B54" i="1"/>
  <c r="C54" i="1"/>
  <c r="D54" i="1"/>
  <c r="E54" i="1"/>
  <c r="F54" i="1"/>
  <c r="G54" i="1"/>
  <c r="K54" i="1"/>
  <c r="L54" i="1"/>
  <c r="M54" i="1"/>
  <c r="N54" i="1"/>
  <c r="O54" i="1"/>
  <c r="P54" i="1"/>
  <c r="Q54" i="1"/>
  <c r="R54" i="1"/>
  <c r="S54" i="1"/>
  <c r="T54" i="1"/>
  <c r="U54" i="1"/>
  <c r="V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A55" i="1"/>
  <c r="B55" i="1"/>
  <c r="C55" i="1"/>
  <c r="D55" i="1"/>
  <c r="E55" i="1"/>
  <c r="F55" i="1"/>
  <c r="G55" i="1"/>
  <c r="K55" i="1"/>
  <c r="L55" i="1"/>
  <c r="M55" i="1"/>
  <c r="N55" i="1"/>
  <c r="O55" i="1"/>
  <c r="P55" i="1"/>
  <c r="Q55" i="1"/>
  <c r="R55" i="1"/>
  <c r="S55" i="1"/>
  <c r="T55" i="1"/>
  <c r="U55" i="1"/>
  <c r="V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A56" i="1"/>
  <c r="B56" i="1"/>
  <c r="C56" i="1"/>
  <c r="D56" i="1"/>
  <c r="E56" i="1"/>
  <c r="F56" i="1"/>
  <c r="G56" i="1"/>
  <c r="K56" i="1"/>
  <c r="L56" i="1"/>
  <c r="M56" i="1"/>
  <c r="N56" i="1"/>
  <c r="O56" i="1"/>
  <c r="P56" i="1"/>
  <c r="Q56" i="1"/>
  <c r="R56" i="1"/>
  <c r="S56" i="1"/>
  <c r="T56" i="1"/>
  <c r="U56" i="1"/>
  <c r="V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A57" i="1"/>
  <c r="B57" i="1"/>
  <c r="C57" i="1"/>
  <c r="D57" i="1"/>
  <c r="E57" i="1"/>
  <c r="F57" i="1"/>
  <c r="G57" i="1"/>
  <c r="K57" i="1"/>
  <c r="L57" i="1"/>
  <c r="M57" i="1"/>
  <c r="N57" i="1"/>
  <c r="O57" i="1"/>
  <c r="P57" i="1"/>
  <c r="Q57" i="1"/>
  <c r="R57" i="1"/>
  <c r="S57" i="1"/>
  <c r="T57" i="1"/>
  <c r="U57" i="1"/>
  <c r="V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A58" i="1"/>
  <c r="B58" i="1"/>
  <c r="C58" i="1"/>
  <c r="D58" i="1"/>
  <c r="E58" i="1"/>
  <c r="F58" i="1"/>
  <c r="G58" i="1"/>
  <c r="K58" i="1"/>
  <c r="L58" i="1"/>
  <c r="M58" i="1"/>
  <c r="N58" i="1"/>
  <c r="O58" i="1"/>
  <c r="P58" i="1"/>
  <c r="Q58" i="1"/>
  <c r="R58" i="1"/>
  <c r="S58" i="1"/>
  <c r="T58" i="1"/>
  <c r="U58" i="1"/>
  <c r="V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A59" i="1"/>
  <c r="B59" i="1"/>
  <c r="C59" i="1"/>
  <c r="D59" i="1"/>
  <c r="E59" i="1"/>
  <c r="F59" i="1"/>
  <c r="G59" i="1"/>
  <c r="K59" i="1"/>
  <c r="L59" i="1"/>
  <c r="M59" i="1"/>
  <c r="N59" i="1"/>
  <c r="O59" i="1"/>
  <c r="P59" i="1"/>
  <c r="Q59" i="1"/>
  <c r="R59" i="1"/>
  <c r="S59" i="1"/>
  <c r="T59" i="1"/>
  <c r="U59" i="1"/>
  <c r="V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A60" i="1"/>
  <c r="B60" i="1"/>
  <c r="C60" i="1"/>
  <c r="D60" i="1"/>
  <c r="E60" i="1"/>
  <c r="F60" i="1"/>
  <c r="G60" i="1"/>
  <c r="K60" i="1"/>
  <c r="L60" i="1"/>
  <c r="M60" i="1"/>
  <c r="N60" i="1"/>
  <c r="O60" i="1"/>
  <c r="P60" i="1"/>
  <c r="Q60" i="1"/>
  <c r="R60" i="1"/>
  <c r="S60" i="1"/>
  <c r="T60" i="1"/>
  <c r="U60" i="1"/>
  <c r="V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A61" i="1"/>
  <c r="B61" i="1"/>
  <c r="C61" i="1"/>
  <c r="D61" i="1"/>
  <c r="E61" i="1"/>
  <c r="F61" i="1"/>
  <c r="G61" i="1"/>
  <c r="K61" i="1"/>
  <c r="L61" i="1"/>
  <c r="M61" i="1"/>
  <c r="N61" i="1"/>
  <c r="O61" i="1"/>
  <c r="P61" i="1"/>
  <c r="Q61" i="1"/>
  <c r="R61" i="1"/>
  <c r="S61" i="1"/>
  <c r="T61" i="1"/>
  <c r="U61" i="1"/>
  <c r="V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A62" i="1"/>
  <c r="B62" i="1"/>
  <c r="C62" i="1"/>
  <c r="D62" i="1"/>
  <c r="E62" i="1"/>
  <c r="F62" i="1"/>
  <c r="G62" i="1"/>
  <c r="K62" i="1"/>
  <c r="L62" i="1"/>
  <c r="M62" i="1"/>
  <c r="N62" i="1"/>
  <c r="O62" i="1"/>
  <c r="P62" i="1"/>
  <c r="Q62" i="1"/>
  <c r="R62" i="1"/>
  <c r="S62" i="1"/>
  <c r="T62" i="1"/>
  <c r="U62" i="1"/>
  <c r="V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A63" i="1"/>
  <c r="B63" i="1"/>
  <c r="C63" i="1"/>
  <c r="D63" i="1"/>
  <c r="E63" i="1"/>
  <c r="F63" i="1"/>
  <c r="G63" i="1"/>
  <c r="K63" i="1"/>
  <c r="L63" i="1"/>
  <c r="M63" i="1"/>
  <c r="N63" i="1"/>
  <c r="O63" i="1"/>
  <c r="P63" i="1"/>
  <c r="Q63" i="1"/>
  <c r="R63" i="1"/>
  <c r="S63" i="1"/>
  <c r="T63" i="1"/>
  <c r="U63" i="1"/>
  <c r="V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A64" i="1"/>
  <c r="B64" i="1"/>
  <c r="C64" i="1"/>
  <c r="D64" i="1"/>
  <c r="E64" i="1"/>
  <c r="F64" i="1"/>
  <c r="G64" i="1"/>
  <c r="K64" i="1"/>
  <c r="L64" i="1"/>
  <c r="M64" i="1"/>
  <c r="N64" i="1"/>
  <c r="O64" i="1"/>
  <c r="P64" i="1"/>
  <c r="Q64" i="1"/>
  <c r="R64" i="1"/>
  <c r="S64" i="1"/>
  <c r="T64" i="1"/>
  <c r="U64" i="1"/>
  <c r="V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A65" i="1"/>
  <c r="B65" i="1"/>
  <c r="C65" i="1"/>
  <c r="D65" i="1"/>
  <c r="E65" i="1"/>
  <c r="F65" i="1"/>
  <c r="G65" i="1"/>
  <c r="K65" i="1"/>
  <c r="L65" i="1"/>
  <c r="M65" i="1"/>
  <c r="N65" i="1"/>
  <c r="O65" i="1"/>
  <c r="P65" i="1"/>
  <c r="Q65" i="1"/>
  <c r="R65" i="1"/>
  <c r="S65" i="1"/>
  <c r="T65" i="1"/>
  <c r="U65" i="1"/>
  <c r="V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A66" i="1"/>
  <c r="B66" i="1"/>
  <c r="C66" i="1"/>
  <c r="D66" i="1"/>
  <c r="E66" i="1"/>
  <c r="F66" i="1"/>
  <c r="G66" i="1"/>
  <c r="K66" i="1"/>
  <c r="L66" i="1"/>
  <c r="M66" i="1"/>
  <c r="N66" i="1"/>
  <c r="O66" i="1"/>
  <c r="P66" i="1"/>
  <c r="Q66" i="1"/>
  <c r="R66" i="1"/>
  <c r="S66" i="1"/>
  <c r="T66" i="1"/>
  <c r="U66" i="1"/>
  <c r="V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A67" i="1"/>
  <c r="B67" i="1"/>
  <c r="C67" i="1"/>
  <c r="D67" i="1"/>
  <c r="E67" i="1"/>
  <c r="F67" i="1"/>
  <c r="G67" i="1"/>
  <c r="K67" i="1"/>
  <c r="L67" i="1"/>
  <c r="M67" i="1"/>
  <c r="N67" i="1"/>
  <c r="O67" i="1"/>
  <c r="P67" i="1"/>
  <c r="Q67" i="1"/>
  <c r="R67" i="1"/>
  <c r="S67" i="1"/>
  <c r="T67" i="1"/>
  <c r="U67" i="1"/>
  <c r="V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A68" i="1"/>
  <c r="B68" i="1"/>
  <c r="C68" i="1"/>
  <c r="D68" i="1"/>
  <c r="E68" i="1"/>
  <c r="F68" i="1"/>
  <c r="G68" i="1"/>
  <c r="K68" i="1"/>
  <c r="L68" i="1"/>
  <c r="M68" i="1"/>
  <c r="N68" i="1"/>
  <c r="O68" i="1"/>
  <c r="P68" i="1"/>
  <c r="Q68" i="1"/>
  <c r="R68" i="1"/>
  <c r="S68" i="1"/>
  <c r="T68" i="1"/>
  <c r="U68" i="1"/>
  <c r="V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A69" i="1"/>
  <c r="B69" i="1"/>
  <c r="C69" i="1"/>
  <c r="D69" i="1"/>
  <c r="E69" i="1"/>
  <c r="F69" i="1"/>
  <c r="G69" i="1"/>
  <c r="K69" i="1"/>
  <c r="L69" i="1"/>
  <c r="M69" i="1"/>
  <c r="N69" i="1"/>
  <c r="O69" i="1"/>
  <c r="P69" i="1"/>
  <c r="Q69" i="1"/>
  <c r="R69" i="1"/>
  <c r="S69" i="1"/>
  <c r="T69" i="1"/>
  <c r="U69" i="1"/>
  <c r="V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A70" i="1"/>
  <c r="B70" i="1"/>
  <c r="C70" i="1"/>
  <c r="D70" i="1"/>
  <c r="E70" i="1"/>
  <c r="F70" i="1"/>
  <c r="G70" i="1"/>
  <c r="K70" i="1"/>
  <c r="L70" i="1"/>
  <c r="M70" i="1"/>
  <c r="N70" i="1"/>
  <c r="O70" i="1"/>
  <c r="P70" i="1"/>
  <c r="Q70" i="1"/>
  <c r="R70" i="1"/>
  <c r="S70" i="1"/>
  <c r="T70" i="1"/>
  <c r="U70" i="1"/>
  <c r="V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A71" i="1"/>
  <c r="B71" i="1"/>
  <c r="C71" i="1"/>
  <c r="D71" i="1"/>
  <c r="E71" i="1"/>
  <c r="F71" i="1"/>
  <c r="G71" i="1"/>
  <c r="K71" i="1"/>
  <c r="L71" i="1"/>
  <c r="M71" i="1"/>
  <c r="N71" i="1"/>
  <c r="O71" i="1"/>
  <c r="P71" i="1"/>
  <c r="Q71" i="1"/>
  <c r="R71" i="1"/>
  <c r="S71" i="1"/>
  <c r="T71" i="1"/>
  <c r="U71" i="1"/>
  <c r="V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A72" i="1"/>
  <c r="B72" i="1"/>
  <c r="C72" i="1"/>
  <c r="D72" i="1"/>
  <c r="E72" i="1"/>
  <c r="F72" i="1"/>
  <c r="G72" i="1"/>
  <c r="K72" i="1"/>
  <c r="L72" i="1"/>
  <c r="M72" i="1"/>
  <c r="N72" i="1"/>
  <c r="O72" i="1"/>
  <c r="P72" i="1"/>
  <c r="Q72" i="1"/>
  <c r="R72" i="1"/>
  <c r="S72" i="1"/>
  <c r="T72" i="1"/>
  <c r="U72" i="1"/>
  <c r="V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A73" i="1"/>
  <c r="B73" i="1"/>
  <c r="C73" i="1"/>
  <c r="D73" i="1"/>
  <c r="E73" i="1"/>
  <c r="F73" i="1"/>
  <c r="G73" i="1"/>
  <c r="K73" i="1"/>
  <c r="L73" i="1"/>
  <c r="M73" i="1"/>
  <c r="N73" i="1"/>
  <c r="O73" i="1"/>
  <c r="P73" i="1"/>
  <c r="Q73" i="1"/>
  <c r="R73" i="1"/>
  <c r="S73" i="1"/>
  <c r="T73" i="1"/>
  <c r="U73" i="1"/>
  <c r="V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A74" i="1"/>
  <c r="B74" i="1"/>
  <c r="C74" i="1"/>
  <c r="D74" i="1"/>
  <c r="E74" i="1"/>
  <c r="F74" i="1"/>
  <c r="G74" i="1"/>
  <c r="K74" i="1"/>
  <c r="L74" i="1"/>
  <c r="M74" i="1"/>
  <c r="N74" i="1"/>
  <c r="O74" i="1"/>
  <c r="P74" i="1"/>
  <c r="Q74" i="1"/>
  <c r="R74" i="1"/>
  <c r="S74" i="1"/>
  <c r="T74" i="1"/>
  <c r="U74" i="1"/>
  <c r="V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A75" i="1"/>
  <c r="B75" i="1"/>
  <c r="C75" i="1"/>
  <c r="D75" i="1"/>
  <c r="E75" i="1"/>
  <c r="F75" i="1"/>
  <c r="G75" i="1"/>
  <c r="K75" i="1"/>
  <c r="L75" i="1"/>
  <c r="M75" i="1"/>
  <c r="N75" i="1"/>
  <c r="O75" i="1"/>
  <c r="P75" i="1"/>
  <c r="Q75" i="1"/>
  <c r="R75" i="1"/>
  <c r="S75" i="1"/>
  <c r="T75" i="1"/>
  <c r="U75" i="1"/>
  <c r="V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A76" i="1"/>
  <c r="B76" i="1"/>
  <c r="C76" i="1"/>
  <c r="D76" i="1"/>
  <c r="E76" i="1"/>
  <c r="F76" i="1"/>
  <c r="G76" i="1"/>
  <c r="K76" i="1"/>
  <c r="L76" i="1"/>
  <c r="M76" i="1"/>
  <c r="N76" i="1"/>
  <c r="O76" i="1"/>
  <c r="P76" i="1"/>
  <c r="Q76" i="1"/>
  <c r="R76" i="1"/>
  <c r="S76" i="1"/>
  <c r="T76" i="1"/>
  <c r="U76" i="1"/>
  <c r="V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A77" i="1"/>
  <c r="B77" i="1"/>
  <c r="C77" i="1"/>
  <c r="D77" i="1"/>
  <c r="E77" i="1"/>
  <c r="F77" i="1"/>
  <c r="G77" i="1"/>
  <c r="K77" i="1"/>
  <c r="L77" i="1"/>
  <c r="M77" i="1"/>
  <c r="N77" i="1"/>
  <c r="O77" i="1"/>
  <c r="P77" i="1"/>
  <c r="Q77" i="1"/>
  <c r="R77" i="1"/>
  <c r="S77" i="1"/>
  <c r="T77" i="1"/>
  <c r="U77" i="1"/>
  <c r="V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A78" i="1"/>
  <c r="B78" i="1"/>
  <c r="C78" i="1"/>
  <c r="D78" i="1"/>
  <c r="E78" i="1"/>
  <c r="F78" i="1"/>
  <c r="G78" i="1"/>
  <c r="K78" i="1"/>
  <c r="L78" i="1"/>
  <c r="M78" i="1"/>
  <c r="N78" i="1"/>
  <c r="O78" i="1"/>
  <c r="P78" i="1"/>
  <c r="Q78" i="1"/>
  <c r="R78" i="1"/>
  <c r="S78" i="1"/>
  <c r="T78" i="1"/>
  <c r="U78" i="1"/>
  <c r="V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A79" i="1"/>
  <c r="B79" i="1"/>
  <c r="C79" i="1"/>
  <c r="D79" i="1"/>
  <c r="E79" i="1"/>
  <c r="F79" i="1"/>
  <c r="G79" i="1"/>
  <c r="K79" i="1"/>
  <c r="L79" i="1"/>
  <c r="M79" i="1"/>
  <c r="N79" i="1"/>
  <c r="O79" i="1"/>
  <c r="P79" i="1"/>
  <c r="Q79" i="1"/>
  <c r="R79" i="1"/>
  <c r="S79" i="1"/>
  <c r="T79" i="1"/>
  <c r="U79" i="1"/>
  <c r="V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A80" i="1"/>
  <c r="B80" i="1"/>
  <c r="C80" i="1"/>
  <c r="D80" i="1"/>
  <c r="E80" i="1"/>
  <c r="F80" i="1"/>
  <c r="G80" i="1"/>
  <c r="K80" i="1"/>
  <c r="L80" i="1"/>
  <c r="M80" i="1"/>
  <c r="N80" i="1"/>
  <c r="O80" i="1"/>
  <c r="P80" i="1"/>
  <c r="Q80" i="1"/>
  <c r="R80" i="1"/>
  <c r="S80" i="1"/>
  <c r="T80" i="1"/>
  <c r="U80" i="1"/>
  <c r="V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A81" i="1"/>
  <c r="B81" i="1"/>
  <c r="C81" i="1"/>
  <c r="D81" i="1"/>
  <c r="E81" i="1"/>
  <c r="F81" i="1"/>
  <c r="G81" i="1"/>
  <c r="K81" i="1"/>
  <c r="L81" i="1"/>
  <c r="M81" i="1"/>
  <c r="N81" i="1"/>
  <c r="O81" i="1"/>
  <c r="P81" i="1"/>
  <c r="Q81" i="1"/>
  <c r="R81" i="1"/>
  <c r="S81" i="1"/>
  <c r="T81" i="1"/>
  <c r="U81" i="1"/>
  <c r="V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A82" i="1"/>
  <c r="B82" i="1"/>
  <c r="C82" i="1"/>
  <c r="D82" i="1"/>
  <c r="E82" i="1"/>
  <c r="F82" i="1"/>
  <c r="G82" i="1"/>
  <c r="K82" i="1"/>
  <c r="L82" i="1"/>
  <c r="M82" i="1"/>
  <c r="N82" i="1"/>
  <c r="O82" i="1"/>
  <c r="P82" i="1"/>
  <c r="Q82" i="1"/>
  <c r="R82" i="1"/>
  <c r="S82" i="1"/>
  <c r="T82" i="1"/>
  <c r="U82" i="1"/>
  <c r="V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A83" i="1"/>
  <c r="B83" i="1"/>
  <c r="C83" i="1"/>
  <c r="D83" i="1"/>
  <c r="E83" i="1"/>
  <c r="F83" i="1"/>
  <c r="G83" i="1"/>
  <c r="K83" i="1"/>
  <c r="L83" i="1"/>
  <c r="M83" i="1"/>
  <c r="N83" i="1"/>
  <c r="O83" i="1"/>
  <c r="P83" i="1"/>
  <c r="Q83" i="1"/>
  <c r="R83" i="1"/>
  <c r="S83" i="1"/>
  <c r="T83" i="1"/>
  <c r="U83" i="1"/>
  <c r="V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A84" i="1"/>
  <c r="B84" i="1"/>
  <c r="C84" i="1"/>
  <c r="D84" i="1"/>
  <c r="E84" i="1"/>
  <c r="F84" i="1"/>
  <c r="G84" i="1"/>
  <c r="K84" i="1"/>
  <c r="L84" i="1"/>
  <c r="M84" i="1"/>
  <c r="N84" i="1"/>
  <c r="O84" i="1"/>
  <c r="P84" i="1"/>
  <c r="Q84" i="1"/>
  <c r="R84" i="1"/>
  <c r="S84" i="1"/>
  <c r="T84" i="1"/>
  <c r="U84" i="1"/>
  <c r="V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A85" i="1"/>
  <c r="B85" i="1"/>
  <c r="C85" i="1"/>
  <c r="D85" i="1"/>
  <c r="E85" i="1"/>
  <c r="F85" i="1"/>
  <c r="G85" i="1"/>
  <c r="K85" i="1"/>
  <c r="L85" i="1"/>
  <c r="M85" i="1"/>
  <c r="N85" i="1"/>
  <c r="O85" i="1"/>
  <c r="P85" i="1"/>
  <c r="Q85" i="1"/>
  <c r="R85" i="1"/>
  <c r="S85" i="1"/>
  <c r="T85" i="1"/>
  <c r="U85" i="1"/>
  <c r="V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A86" i="1"/>
  <c r="B86" i="1"/>
  <c r="C86" i="1"/>
  <c r="D86" i="1"/>
  <c r="E86" i="1"/>
  <c r="F86" i="1"/>
  <c r="G86" i="1"/>
  <c r="K86" i="1"/>
  <c r="L86" i="1"/>
  <c r="M86" i="1"/>
  <c r="N86" i="1"/>
  <c r="O86" i="1"/>
  <c r="P86" i="1"/>
  <c r="Q86" i="1"/>
  <c r="R86" i="1"/>
  <c r="S86" i="1"/>
  <c r="T86" i="1"/>
  <c r="U86" i="1"/>
  <c r="V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A87" i="1"/>
  <c r="B87" i="1"/>
  <c r="C87" i="1"/>
  <c r="D87" i="1"/>
  <c r="E87" i="1"/>
  <c r="F87" i="1"/>
  <c r="G87" i="1"/>
  <c r="K87" i="1"/>
  <c r="L87" i="1"/>
  <c r="M87" i="1"/>
  <c r="N87" i="1"/>
  <c r="O87" i="1"/>
  <c r="P87" i="1"/>
  <c r="Q87" i="1"/>
  <c r="R87" i="1"/>
  <c r="S87" i="1"/>
  <c r="T87" i="1"/>
  <c r="U87" i="1"/>
  <c r="V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A88" i="1"/>
  <c r="B88" i="1"/>
  <c r="C88" i="1"/>
  <c r="D88" i="1"/>
  <c r="E88" i="1"/>
  <c r="F88" i="1"/>
  <c r="G88" i="1"/>
  <c r="K88" i="1"/>
  <c r="L88" i="1"/>
  <c r="M88" i="1"/>
  <c r="N88" i="1"/>
  <c r="O88" i="1"/>
  <c r="P88" i="1"/>
  <c r="Q88" i="1"/>
  <c r="R88" i="1"/>
  <c r="S88" i="1"/>
  <c r="T88" i="1"/>
  <c r="U88" i="1"/>
  <c r="V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A89" i="1"/>
  <c r="B89" i="1"/>
  <c r="C89" i="1"/>
  <c r="D89" i="1"/>
  <c r="E89" i="1"/>
  <c r="F89" i="1"/>
  <c r="G89" i="1"/>
  <c r="K89" i="1"/>
  <c r="L89" i="1"/>
  <c r="M89" i="1"/>
  <c r="N89" i="1"/>
  <c r="O89" i="1"/>
  <c r="P89" i="1"/>
  <c r="Q89" i="1"/>
  <c r="R89" i="1"/>
  <c r="S89" i="1"/>
  <c r="T89" i="1"/>
  <c r="U89" i="1"/>
  <c r="V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A90" i="1"/>
  <c r="B90" i="1"/>
  <c r="C90" i="1"/>
  <c r="D90" i="1"/>
  <c r="E90" i="1"/>
  <c r="F90" i="1"/>
  <c r="G90" i="1"/>
  <c r="K90" i="1"/>
  <c r="L90" i="1"/>
  <c r="M90" i="1"/>
  <c r="N90" i="1"/>
  <c r="O90" i="1"/>
  <c r="P90" i="1"/>
  <c r="Q90" i="1"/>
  <c r="R90" i="1"/>
  <c r="S90" i="1"/>
  <c r="T90" i="1"/>
  <c r="U90" i="1"/>
  <c r="V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A91" i="1"/>
  <c r="B91" i="1"/>
  <c r="C91" i="1"/>
  <c r="D91" i="1"/>
  <c r="E91" i="1"/>
  <c r="F91" i="1"/>
  <c r="G91" i="1"/>
  <c r="K91" i="1"/>
  <c r="L91" i="1"/>
  <c r="M91" i="1"/>
  <c r="N91" i="1"/>
  <c r="O91" i="1"/>
  <c r="P91" i="1"/>
  <c r="Q91" i="1"/>
  <c r="R91" i="1"/>
  <c r="S91" i="1"/>
  <c r="T91" i="1"/>
  <c r="U91" i="1"/>
  <c r="V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A92" i="1"/>
  <c r="B92" i="1"/>
  <c r="C92" i="1"/>
  <c r="D92" i="1"/>
  <c r="E92" i="1"/>
  <c r="F92" i="1"/>
  <c r="G92" i="1"/>
  <c r="K92" i="1"/>
  <c r="L92" i="1"/>
  <c r="M92" i="1"/>
  <c r="N92" i="1"/>
  <c r="O92" i="1"/>
  <c r="P92" i="1"/>
  <c r="Q92" i="1"/>
  <c r="R92" i="1"/>
  <c r="S92" i="1"/>
  <c r="T92" i="1"/>
  <c r="U92" i="1"/>
  <c r="V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A93" i="1"/>
  <c r="B93" i="1"/>
  <c r="C93" i="1"/>
  <c r="D93" i="1"/>
  <c r="E93" i="1"/>
  <c r="F93" i="1"/>
  <c r="G93" i="1"/>
  <c r="K93" i="1"/>
  <c r="L93" i="1"/>
  <c r="M93" i="1"/>
  <c r="N93" i="1"/>
  <c r="O93" i="1"/>
  <c r="P93" i="1"/>
  <c r="Q93" i="1"/>
  <c r="R93" i="1"/>
  <c r="S93" i="1"/>
  <c r="T93" i="1"/>
  <c r="U93" i="1"/>
  <c r="V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A94" i="1"/>
  <c r="B94" i="1"/>
  <c r="C94" i="1"/>
  <c r="D94" i="1"/>
  <c r="E94" i="1"/>
  <c r="F94" i="1"/>
  <c r="G94" i="1"/>
  <c r="K94" i="1"/>
  <c r="L94" i="1"/>
  <c r="M94" i="1"/>
  <c r="N94" i="1"/>
  <c r="O94" i="1"/>
  <c r="P94" i="1"/>
  <c r="Q94" i="1"/>
  <c r="R94" i="1"/>
  <c r="S94" i="1"/>
  <c r="T94" i="1"/>
  <c r="U94" i="1"/>
  <c r="V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95" i="1"/>
  <c r="D95" i="1"/>
  <c r="E95" i="1"/>
  <c r="F95" i="1"/>
  <c r="G95" i="1"/>
  <c r="K95" i="1"/>
  <c r="L95" i="1"/>
  <c r="M95" i="1"/>
  <c r="N95" i="1"/>
  <c r="O95" i="1"/>
  <c r="P95" i="1"/>
  <c r="Q95" i="1"/>
  <c r="R95" i="1"/>
  <c r="S95" i="1"/>
  <c r="T95" i="1"/>
  <c r="U95" i="1"/>
  <c r="V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O95" i="1"/>
  <c r="BP95" i="1"/>
  <c r="BQ95" i="1"/>
  <c r="BR95" i="1"/>
  <c r="BS95" i="1"/>
  <c r="BT95" i="1"/>
  <c r="BU95" i="1"/>
  <c r="BV95" i="1"/>
  <c r="BW95" i="1"/>
  <c r="BX95" i="1"/>
  <c r="BY95" i="1"/>
  <c r="BZ95" i="1"/>
</calcChain>
</file>

<file path=xl/sharedStrings.xml><?xml version="1.0" encoding="utf-8"?>
<sst xmlns="http://schemas.openxmlformats.org/spreadsheetml/2006/main" count="1998" uniqueCount="81">
  <si>
    <t>Balancing Entity ID #</t>
  </si>
  <si>
    <r>
      <t>Balancing Entity Type</t>
    </r>
    <r>
      <rPr>
        <b/>
        <vertAlign val="superscript"/>
        <sz val="12"/>
        <rFont val="Arial"/>
        <family val="2"/>
      </rPr>
      <t>1</t>
    </r>
  </si>
  <si>
    <t>Targeted during Customer Specific</t>
  </si>
  <si>
    <t>Dth Threshold</t>
  </si>
  <si>
    <t>---</t>
  </si>
  <si>
    <t>Percent Threshold</t>
  </si>
  <si>
    <t xml:space="preserve">Dest Cust ID </t>
  </si>
  <si>
    <t xml:space="preserve">Dest Ctrct Type </t>
  </si>
  <si>
    <t>CTARGAS</t>
  </si>
  <si>
    <t>Assumptions:</t>
  </si>
  <si>
    <t>Thresholds for Significant</t>
  </si>
  <si>
    <t xml:space="preserve">   Dth</t>
  </si>
  <si>
    <t xml:space="preserve">   Percent</t>
  </si>
  <si>
    <t xml:space="preserve">NBAA Cust ID </t>
  </si>
  <si>
    <t xml:space="preserve">NBAA Ctrct Type </t>
  </si>
  <si>
    <t>NBAA</t>
  </si>
  <si>
    <t>NGSA Imbalances</t>
  </si>
  <si>
    <t>NGSA</t>
  </si>
  <si>
    <t>Total</t>
  </si>
  <si>
    <t>Significant Contributor per Settlement</t>
  </si>
  <si>
    <t>Targeted under Customer-Specific</t>
  </si>
  <si>
    <t>Balancing Entity      ID #</t>
  </si>
  <si>
    <r>
      <t>Balancing Entity Type</t>
    </r>
    <r>
      <rPr>
        <b/>
        <vertAlign val="superscript"/>
        <sz val="10"/>
        <rFont val="Arial"/>
        <family val="2"/>
      </rPr>
      <t>1</t>
    </r>
  </si>
  <si>
    <t>Total for Entity</t>
  </si>
  <si>
    <t>OFO Balancing Entity Detail Report</t>
  </si>
  <si>
    <t>OFO Date:</t>
  </si>
  <si>
    <t>OFO Reason:</t>
  </si>
  <si>
    <t>High Inventory</t>
  </si>
  <si>
    <t>OFO Type:</t>
  </si>
  <si>
    <t>System-Wide</t>
  </si>
  <si>
    <t>Supply Scheduled Volume</t>
  </si>
  <si>
    <t>Usage</t>
  </si>
  <si>
    <t>Daily Imbalance</t>
  </si>
  <si>
    <t>3-Day Prior Net Imbalance</t>
  </si>
  <si>
    <t>3-Day Prior Percentage Imbalance</t>
  </si>
  <si>
    <r>
      <t>Significant Contributor</t>
    </r>
    <r>
      <rPr>
        <b/>
        <vertAlign val="superscript"/>
        <sz val="10"/>
        <rFont val="Arial"/>
        <family val="2"/>
      </rPr>
      <t>2</t>
    </r>
  </si>
  <si>
    <t>"Targeted" under          Cust-Spec.</t>
  </si>
  <si>
    <t>Delivery Tot NGSA Sched Vol</t>
  </si>
  <si>
    <t>Core OFO Usg MMBTU Vol</t>
  </si>
  <si>
    <t>Core Daily Imbalance</t>
  </si>
  <si>
    <t>Usage Tot MMBTU Vol</t>
  </si>
  <si>
    <t>Non-Core Daily Imbalance</t>
  </si>
  <si>
    <t>Customer-Specific</t>
  </si>
  <si>
    <t>Delivery  Sched Vol</t>
  </si>
  <si>
    <t>X</t>
  </si>
  <si>
    <t>Appendix A</t>
  </si>
  <si>
    <t>Balancing Entity Detail Report and Significant Contributor Calculations</t>
  </si>
  <si>
    <t>1. CTARGAS is a Core Procurement Group; NBAA is  group of noncore enduse customers; NGSA is an individual customer.</t>
  </si>
  <si>
    <t>2. "Significant Contributor" per the OFO Settlement is the "Exceeds Both Dth and Percent" Column.  The other significant contributor measures are for additional information.</t>
  </si>
  <si>
    <r>
      <t>Significant Contributor</t>
    </r>
    <r>
      <rPr>
        <b/>
        <vertAlign val="superscript"/>
        <sz val="12"/>
        <rFont val="Arial"/>
        <family val="2"/>
      </rPr>
      <t>2</t>
    </r>
  </si>
  <si>
    <t>3-Day Volume + Percent Imbalance</t>
  </si>
  <si>
    <t>3-Day Volume Imbalance Only</t>
  </si>
  <si>
    <t>3-Day Percent Imbalance Only</t>
  </si>
  <si>
    <t>Balancing Entity           ID #</t>
  </si>
  <si>
    <r>
      <t>Balancing Entity Type</t>
    </r>
    <r>
      <rPr>
        <b/>
        <vertAlign val="superscript"/>
        <sz val="9"/>
        <rFont val="Arial"/>
        <family val="2"/>
      </rPr>
      <t>1</t>
    </r>
  </si>
  <si>
    <r>
      <t>Significant Contributor</t>
    </r>
    <r>
      <rPr>
        <b/>
        <vertAlign val="superscript"/>
        <sz val="11"/>
        <rFont val="Arial"/>
        <family val="2"/>
      </rPr>
      <t>2</t>
    </r>
  </si>
  <si>
    <t>3-Day Prior Percent Imbalance</t>
  </si>
  <si>
    <t>% of Usage</t>
  </si>
  <si>
    <t>2% Tolerance</t>
  </si>
  <si>
    <t>1% Tolerance</t>
  </si>
  <si>
    <t>5% Tolerance</t>
  </si>
  <si>
    <t>3% Tolerance</t>
  </si>
  <si>
    <t>4% Tolerance</t>
  </si>
  <si>
    <t>12% Tolerance</t>
  </si>
  <si>
    <t>6% Tolerance</t>
  </si>
  <si>
    <t>Sunday</t>
  </si>
  <si>
    <t>Friday</t>
  </si>
  <si>
    <t>Saturday</t>
  </si>
  <si>
    <t>Monday</t>
  </si>
  <si>
    <t>Balancing Entity          ID #</t>
  </si>
  <si>
    <t>OFO Day Imbalance Increase          &gt; dth</t>
  </si>
  <si>
    <t>Threshold for OFO Day Increase</t>
  </si>
  <si>
    <t xml:space="preserve">Significant Cont &gt; </t>
  </si>
  <si>
    <t>Dth Only</t>
  </si>
  <si>
    <t xml:space="preserve">Significant Contribution &gt;  </t>
  </si>
  <si>
    <t>Only</t>
  </si>
  <si>
    <t>OFO Day Imbalance Increase &gt;</t>
  </si>
  <si>
    <t>dth</t>
  </si>
  <si>
    <t>Balancing Entity Type1</t>
  </si>
  <si>
    <t>----</t>
  </si>
  <si>
    <t>OFO Day Supply &amp; Imbalance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</si>
</sst>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%"/>
  </numFmts>
  <fonts count="16" x14ac:knownFonts="1">
    <font>
      <sz val="10"/>
      <name val="Arial"/>
    </font>
    <font>
      <b/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b/>
      <vertAlign val="superscript"/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9" fontId="0" fillId="0" borderId="1" xfId="0" applyNumberFormat="1" applyBorder="1"/>
    <xf numFmtId="0" fontId="0" fillId="0" borderId="2" xfId="0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14" fontId="0" fillId="0" borderId="2" xfId="0" applyNumberFormat="1" applyBorder="1"/>
    <xf numFmtId="0" fontId="0" fillId="0" borderId="2" xfId="0" applyBorder="1" applyAlignment="1">
      <alignment horizontal="center" textRotation="90" wrapText="1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1" fillId="0" borderId="5" xfId="0" applyFont="1" applyBorder="1" applyAlignment="1">
      <alignment horizontal="center"/>
    </xf>
    <xf numFmtId="9" fontId="1" fillId="0" borderId="0" xfId="0" applyNumberFormat="1" applyFont="1"/>
    <xf numFmtId="0" fontId="1" fillId="0" borderId="6" xfId="0" applyFont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0" fillId="0" borderId="1" xfId="0" applyNumberFormat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7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vertical="center"/>
    </xf>
    <xf numFmtId="0" fontId="9" fillId="0" borderId="0" xfId="0" applyFont="1" applyBorder="1"/>
    <xf numFmtId="0" fontId="0" fillId="0" borderId="0" xfId="0" applyBorder="1" applyAlignment="1">
      <alignment horizontal="center"/>
    </xf>
    <xf numFmtId="0" fontId="11" fillId="0" borderId="0" xfId="0" applyFont="1" applyBorder="1"/>
    <xf numFmtId="3" fontId="9" fillId="0" borderId="0" xfId="0" applyNumberFormat="1" applyFont="1" applyBorder="1"/>
    <xf numFmtId="9" fontId="9" fillId="0" borderId="0" xfId="0" applyNumberFormat="1" applyFont="1" applyBorder="1"/>
    <xf numFmtId="0" fontId="2" fillId="0" borderId="17" xfId="0" applyFont="1" applyBorder="1" applyAlignment="1">
      <alignment horizontal="center" wrapText="1"/>
    </xf>
    <xf numFmtId="3" fontId="2" fillId="0" borderId="18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21" xfId="0" quotePrefix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quotePrefix="1" applyFont="1" applyBorder="1" applyAlignment="1">
      <alignment horizontal="center" vertical="center" wrapText="1"/>
    </xf>
    <xf numFmtId="9" fontId="2" fillId="0" borderId="26" xfId="0" applyNumberFormat="1" applyFont="1" applyBorder="1" applyAlignment="1">
      <alignment horizontal="center" vertical="center" wrapText="1"/>
    </xf>
    <xf numFmtId="0" fontId="2" fillId="0" borderId="27" xfId="0" quotePrefix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" wrapText="1"/>
    </xf>
    <xf numFmtId="9" fontId="0" fillId="0" borderId="0" xfId="0" applyNumberFormat="1" applyBorder="1"/>
    <xf numFmtId="0" fontId="1" fillId="0" borderId="0" xfId="0" applyFont="1" applyBorder="1"/>
    <xf numFmtId="9" fontId="1" fillId="0" borderId="0" xfId="0" applyNumberFormat="1" applyFont="1" applyBorder="1"/>
    <xf numFmtId="0" fontId="0" fillId="0" borderId="0" xfId="0" applyAlignment="1">
      <alignment horizontal="left" wrapText="1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7" fillId="0" borderId="31" xfId="0" applyFont="1" applyBorder="1"/>
    <xf numFmtId="0" fontId="7" fillId="0" borderId="32" xfId="0" applyFont="1" applyBorder="1"/>
    <xf numFmtId="14" fontId="7" fillId="0" borderId="33" xfId="0" applyNumberFormat="1" applyFont="1" applyBorder="1"/>
    <xf numFmtId="0" fontId="7" fillId="0" borderId="34" xfId="0" applyFont="1" applyBorder="1"/>
    <xf numFmtId="0" fontId="7" fillId="0" borderId="35" xfId="0" applyFont="1" applyBorder="1"/>
    <xf numFmtId="0" fontId="7" fillId="0" borderId="0" xfId="0" applyFont="1"/>
    <xf numFmtId="0" fontId="0" fillId="0" borderId="1" xfId="0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12" fillId="0" borderId="0" xfId="0" applyFont="1"/>
    <xf numFmtId="0" fontId="12" fillId="0" borderId="0" xfId="0" applyFont="1" applyBorder="1" applyAlignment="1">
      <alignment horizontal="center" wrapText="1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7" fillId="0" borderId="39" xfId="0" applyFont="1" applyBorder="1"/>
    <xf numFmtId="0" fontId="1" fillId="0" borderId="1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2" fillId="0" borderId="15" xfId="0" applyFont="1" applyBorder="1" applyAlignment="1">
      <alignment horizontal="center" wrapText="1"/>
    </xf>
    <xf numFmtId="0" fontId="0" fillId="0" borderId="41" xfId="0" applyBorder="1"/>
    <xf numFmtId="0" fontId="7" fillId="0" borderId="42" xfId="0" applyFont="1" applyBorder="1"/>
    <xf numFmtId="0" fontId="0" fillId="0" borderId="43" xfId="0" applyBorder="1"/>
    <xf numFmtId="9" fontId="0" fillId="0" borderId="41" xfId="0" applyNumberFormat="1" applyBorder="1"/>
    <xf numFmtId="0" fontId="12" fillId="0" borderId="44" xfId="0" applyFont="1" applyBorder="1" applyAlignment="1">
      <alignment horizontal="center" wrapText="1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2" fillId="0" borderId="47" xfId="0" applyFont="1" applyBorder="1" applyAlignment="1">
      <alignment horizontal="center" wrapText="1"/>
    </xf>
    <xf numFmtId="0" fontId="0" fillId="0" borderId="48" xfId="0" applyBorder="1"/>
    <xf numFmtId="0" fontId="7" fillId="0" borderId="49" xfId="0" applyFont="1" applyBorder="1"/>
    <xf numFmtId="0" fontId="1" fillId="0" borderId="50" xfId="0" applyFon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wrapText="1"/>
    </xf>
    <xf numFmtId="0" fontId="1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3" fillId="0" borderId="0" xfId="0" applyFont="1" applyAlignment="1">
      <alignment horizontal="left" vertical="center"/>
    </xf>
    <xf numFmtId="9" fontId="0" fillId="0" borderId="5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50" xfId="0" applyBorder="1"/>
    <xf numFmtId="0" fontId="0" fillId="0" borderId="7" xfId="0" applyBorder="1"/>
    <xf numFmtId="2" fontId="0" fillId="0" borderId="31" xfId="0" applyNumberForma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2" fillId="0" borderId="56" xfId="0" applyFont="1" applyBorder="1" applyAlignment="1">
      <alignment horizontal="center" wrapText="1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2" fillId="0" borderId="0" xfId="0" applyFont="1" applyBorder="1"/>
    <xf numFmtId="0" fontId="0" fillId="0" borderId="57" xfId="0" applyBorder="1"/>
    <xf numFmtId="0" fontId="1" fillId="0" borderId="31" xfId="0" applyFont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7" fillId="0" borderId="58" xfId="0" applyFont="1" applyBorder="1"/>
    <xf numFmtId="0" fontId="7" fillId="0" borderId="0" xfId="0" applyFont="1" applyBorder="1"/>
    <xf numFmtId="14" fontId="1" fillId="0" borderId="2" xfId="0" applyNumberFormat="1" applyFont="1" applyBorder="1" applyAlignment="1">
      <alignment horizontal="center"/>
    </xf>
    <xf numFmtId="0" fontId="7" fillId="0" borderId="24" xfId="0" applyFont="1" applyBorder="1"/>
    <xf numFmtId="2" fontId="0" fillId="0" borderId="59" xfId="0" applyNumberForma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7" fillId="0" borderId="51" xfId="0" applyFont="1" applyBorder="1"/>
    <xf numFmtId="0" fontId="0" fillId="0" borderId="11" xfId="0" applyBorder="1"/>
    <xf numFmtId="0" fontId="7" fillId="0" borderId="52" xfId="0" applyFont="1" applyBorder="1"/>
    <xf numFmtId="0" fontId="1" fillId="0" borderId="62" xfId="0" applyFont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4" xfId="0" applyFont="1" applyBorder="1"/>
    <xf numFmtId="14" fontId="2" fillId="0" borderId="0" xfId="0" applyNumberFormat="1" applyFont="1" applyAlignment="1">
      <alignment horizontal="left"/>
    </xf>
    <xf numFmtId="0" fontId="0" fillId="0" borderId="63" xfId="0" applyBorder="1"/>
    <xf numFmtId="0" fontId="0" fillId="0" borderId="2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41" xfId="0" applyNumberFormat="1" applyBorder="1"/>
    <xf numFmtId="0" fontId="1" fillId="0" borderId="1" xfId="0" applyNumberFormat="1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3" fontId="7" fillId="0" borderId="58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>
      <alignment horizontal="left"/>
    </xf>
    <xf numFmtId="0" fontId="1" fillId="0" borderId="12" xfId="0" applyFon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7" fillId="0" borderId="12" xfId="0" applyFont="1" applyBorder="1" applyAlignment="1">
      <alignment horizontal="center"/>
    </xf>
    <xf numFmtId="0" fontId="1" fillId="0" borderId="65" xfId="0" applyFont="1" applyBorder="1" applyAlignment="1">
      <alignment vertical="center"/>
    </xf>
    <xf numFmtId="164" fontId="7" fillId="0" borderId="66" xfId="0" applyNumberFormat="1" applyFont="1" applyBorder="1" applyAlignment="1">
      <alignment horizontal="center" textRotation="90"/>
    </xf>
    <xf numFmtId="0" fontId="1" fillId="0" borderId="65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0" fillId="0" borderId="66" xfId="0" applyBorder="1" applyAlignment="1">
      <alignment horizontal="center"/>
    </xf>
    <xf numFmtId="0" fontId="7" fillId="0" borderId="66" xfId="0" applyFont="1" applyBorder="1" applyAlignment="1">
      <alignment horizontal="center"/>
    </xf>
    <xf numFmtId="0" fontId="7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vertical="center"/>
    </xf>
    <xf numFmtId="0" fontId="1" fillId="0" borderId="69" xfId="0" applyFont="1" applyBorder="1" applyAlignment="1">
      <alignment vertical="center"/>
    </xf>
    <xf numFmtId="0" fontId="7" fillId="0" borderId="69" xfId="0" applyFont="1" applyBorder="1" applyAlignment="1">
      <alignment horizontal="center"/>
    </xf>
    <xf numFmtId="0" fontId="7" fillId="0" borderId="67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164" fontId="7" fillId="0" borderId="70" xfId="0" applyNumberFormat="1" applyFont="1" applyBorder="1" applyAlignment="1">
      <alignment horizontal="center" textRotation="90"/>
    </xf>
    <xf numFmtId="0" fontId="1" fillId="0" borderId="71" xfId="0" applyFont="1" applyBorder="1" applyAlignment="1">
      <alignment vertical="center"/>
    </xf>
    <xf numFmtId="0" fontId="1" fillId="0" borderId="72" xfId="0" applyFont="1" applyBorder="1" applyAlignment="1">
      <alignment vertical="center"/>
    </xf>
    <xf numFmtId="0" fontId="7" fillId="0" borderId="72" xfId="0" applyFont="1" applyBorder="1" applyAlignment="1">
      <alignment horizontal="center"/>
    </xf>
    <xf numFmtId="0" fontId="7" fillId="0" borderId="70" xfId="0" applyFont="1" applyBorder="1" applyAlignment="1">
      <alignment horizontal="center"/>
    </xf>
    <xf numFmtId="0" fontId="7" fillId="0" borderId="71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0" fontId="0" fillId="0" borderId="65" xfId="0" applyBorder="1"/>
    <xf numFmtId="0" fontId="7" fillId="0" borderId="73" xfId="0" applyFont="1" applyBorder="1" applyAlignment="1">
      <alignment horizontal="center" wrapText="1"/>
    </xf>
    <xf numFmtId="0" fontId="1" fillId="0" borderId="73" xfId="0" applyFont="1" applyBorder="1" applyAlignment="1">
      <alignment vertical="center"/>
    </xf>
    <xf numFmtId="0" fontId="7" fillId="0" borderId="73" xfId="0" applyFont="1" applyBorder="1" applyAlignment="1">
      <alignment horizontal="center"/>
    </xf>
    <xf numFmtId="0" fontId="2" fillId="0" borderId="16" xfId="0" applyFont="1" applyBorder="1"/>
    <xf numFmtId="0" fontId="1" fillId="0" borderId="16" xfId="0" applyFont="1" applyBorder="1"/>
    <xf numFmtId="0" fontId="1" fillId="0" borderId="16" xfId="0" applyFont="1" applyBorder="1" applyAlignment="1">
      <alignment vertical="center"/>
    </xf>
    <xf numFmtId="0" fontId="0" fillId="0" borderId="16" xfId="0" applyBorder="1"/>
    <xf numFmtId="0" fontId="6" fillId="0" borderId="66" xfId="0" applyFont="1" applyBorder="1" applyAlignment="1">
      <alignment horizontal="center" wrapText="1"/>
    </xf>
    <xf numFmtId="0" fontId="15" fillId="0" borderId="0" xfId="0" applyFont="1"/>
    <xf numFmtId="0" fontId="15" fillId="0" borderId="0" xfId="0" applyFont="1" applyBorder="1"/>
    <xf numFmtId="0" fontId="6" fillId="0" borderId="6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15" fillId="0" borderId="12" xfId="0" applyFont="1" applyBorder="1"/>
    <xf numFmtId="0" fontId="15" fillId="0" borderId="66" xfId="0" applyFont="1" applyBorder="1"/>
    <xf numFmtId="0" fontId="6" fillId="0" borderId="65" xfId="0" applyFont="1" applyBorder="1"/>
    <xf numFmtId="0" fontId="6" fillId="0" borderId="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2" fillId="0" borderId="76" xfId="0" applyFont="1" applyBorder="1" applyAlignment="1">
      <alignment horizontal="center"/>
    </xf>
    <xf numFmtId="0" fontId="12" fillId="0" borderId="58" xfId="0" applyFont="1" applyBorder="1" applyAlignment="1">
      <alignment horizontal="center" wrapText="1"/>
    </xf>
    <xf numFmtId="0" fontId="7" fillId="0" borderId="47" xfId="0" applyFont="1" applyBorder="1"/>
    <xf numFmtId="0" fontId="3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2" fillId="0" borderId="77" xfId="0" applyFont="1" applyBorder="1" applyAlignment="1">
      <alignment horizontal="center" wrapText="1"/>
    </xf>
    <xf numFmtId="9" fontId="2" fillId="0" borderId="78" xfId="0" applyNumberFormat="1" applyFont="1" applyBorder="1" applyAlignment="1">
      <alignment horizontal="center" vertical="center" wrapText="1"/>
    </xf>
    <xf numFmtId="3" fontId="2" fillId="0" borderId="79" xfId="0" applyNumberFormat="1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/>
    </xf>
    <xf numFmtId="0" fontId="1" fillId="0" borderId="81" xfId="0" quotePrefix="1" applyFont="1" applyBorder="1" applyAlignment="1">
      <alignment horizontal="center" vertical="center"/>
    </xf>
    <xf numFmtId="0" fontId="2" fillId="0" borderId="82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83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56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9525</xdr:rowOff>
    </xdr:from>
    <xdr:to>
      <xdr:col>7</xdr:col>
      <xdr:colOff>28575</xdr:colOff>
      <xdr:row>0</xdr:row>
      <xdr:rowOff>561975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89C89B70-FE62-8732-6CD1-A7B6469B272C}"/>
            </a:ext>
          </a:extLst>
        </xdr:cNvPr>
        <xdr:cNvSpPr txBox="1">
          <a:spLocks noChangeArrowheads="1"/>
        </xdr:cNvSpPr>
      </xdr:nvSpPr>
      <xdr:spPr bwMode="auto">
        <a:xfrm>
          <a:off x="3324225" y="9525"/>
          <a:ext cx="3571875" cy="5524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Subject to Rule 51 of the CPUC Rules of Practice and Procedure,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 601 et seq. of the FERC Rules of Practice, Rule 408 of the Federal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Rules of Evidence, and Section 1152 of the California Evidence Code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45"/>
  <sheetViews>
    <sheetView tabSelected="1" zoomScale="7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7.85546875" defaultRowHeight="12.75" x14ac:dyDescent="0.2"/>
  <cols>
    <col min="1" max="2" width="14.7109375" style="43" customWidth="1"/>
    <col min="3" max="3" width="14.7109375" style="33" customWidth="1"/>
    <col min="4" max="7" width="14.7109375" style="30" customWidth="1"/>
    <col min="8" max="8" width="25" customWidth="1"/>
    <col min="9" max="9" width="6.140625" customWidth="1"/>
    <col min="10" max="10" width="8.85546875" style="191" customWidth="1"/>
    <col min="11" max="21" width="3.7109375" customWidth="1"/>
    <col min="22" max="22" width="5" customWidth="1"/>
    <col min="23" max="23" width="2.5703125" customWidth="1"/>
    <col min="24" max="34" width="3.7109375" customWidth="1"/>
    <col min="35" max="35" width="5.28515625" customWidth="1"/>
    <col min="36" max="36" width="1.28515625" customWidth="1"/>
    <col min="37" max="37" width="5.85546875" customWidth="1"/>
    <col min="38" max="38" width="7.28515625" style="191" customWidth="1"/>
    <col min="39" max="49" width="3.7109375" customWidth="1"/>
    <col min="50" max="50" width="5.85546875" customWidth="1"/>
    <col min="51" max="51" width="1.7109375" customWidth="1"/>
    <col min="52" max="62" width="3.7109375" customWidth="1"/>
    <col min="63" max="63" width="5.5703125" customWidth="1"/>
    <col min="64" max="64" width="3.7109375" customWidth="1"/>
    <col min="65" max="65" width="5.85546875" customWidth="1"/>
    <col min="66" max="66" width="7.28515625" style="191" customWidth="1"/>
    <col min="67" max="77" width="3.7109375" customWidth="1"/>
    <col min="78" max="78" width="6.28515625" customWidth="1"/>
    <col min="79" max="79" width="7.85546875" customWidth="1"/>
  </cols>
  <sheetData>
    <row r="1" spans="1:79" ht="48.75" customHeight="1" x14ac:dyDescent="0.25">
      <c r="A1" s="216" t="s">
        <v>45</v>
      </c>
      <c r="B1" s="216"/>
      <c r="C1" s="216"/>
      <c r="D1" s="216"/>
      <c r="E1" s="205"/>
      <c r="F1" s="205"/>
      <c r="G1" s="205"/>
    </row>
    <row r="2" spans="1:79" ht="28.5" customHeight="1" thickBot="1" x14ac:dyDescent="0.25">
      <c r="A2" s="215" t="s">
        <v>46</v>
      </c>
      <c r="B2" s="215"/>
      <c r="C2" s="215"/>
      <c r="D2" s="215"/>
      <c r="E2" s="215"/>
      <c r="F2" s="215"/>
      <c r="G2" s="215"/>
    </row>
    <row r="3" spans="1:79" s="4" customFormat="1" ht="18" customHeight="1" thickBot="1" x14ac:dyDescent="0.3">
      <c r="A3" s="34"/>
      <c r="B3" s="34"/>
      <c r="C3" s="40"/>
      <c r="D3" s="212" t="s">
        <v>49</v>
      </c>
      <c r="E3" s="213"/>
      <c r="F3" s="213"/>
      <c r="G3" s="214"/>
      <c r="I3" s="47"/>
      <c r="J3" s="192"/>
      <c r="K3" s="62" t="s">
        <v>20</v>
      </c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181"/>
      <c r="X3" s="62" t="s">
        <v>19</v>
      </c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181"/>
      <c r="AK3" s="47"/>
      <c r="AL3" s="192"/>
      <c r="AM3" s="157" t="s">
        <v>76</v>
      </c>
      <c r="AN3" s="62"/>
      <c r="AO3" s="62"/>
      <c r="AP3" s="62"/>
      <c r="AQ3" s="62"/>
      <c r="AR3" s="62"/>
      <c r="AS3" s="62"/>
      <c r="AT3" s="62"/>
      <c r="AU3" s="158" t="str">
        <f>TEXT($C$110,"#,#00")</f>
        <v>5,000</v>
      </c>
      <c r="AV3" s="62"/>
      <c r="AW3" s="157" t="s">
        <v>77</v>
      </c>
      <c r="AX3" s="62"/>
      <c r="AY3" s="181"/>
      <c r="AZ3" s="157" t="s">
        <v>72</v>
      </c>
      <c r="BA3" s="157"/>
      <c r="BB3" s="157"/>
      <c r="BC3" s="157"/>
      <c r="BD3" s="157"/>
      <c r="BE3" s="158" t="str">
        <f>TEXT($C$106,"#,#00")</f>
        <v>5,000</v>
      </c>
      <c r="BF3" s="157"/>
      <c r="BG3" s="157" t="s">
        <v>73</v>
      </c>
      <c r="BH3" s="157"/>
      <c r="BI3" s="157"/>
      <c r="BJ3" s="157"/>
      <c r="BK3" s="157"/>
      <c r="BL3" s="181"/>
      <c r="BM3" s="47"/>
      <c r="BN3" s="192"/>
      <c r="BO3" s="157" t="s">
        <v>74</v>
      </c>
      <c r="BP3" s="62"/>
      <c r="BQ3" s="62"/>
      <c r="BR3" s="62"/>
      <c r="BS3" s="29"/>
      <c r="BT3" s="62"/>
      <c r="BU3" s="29"/>
      <c r="BV3" s="158" t="str">
        <f>TEXT($C$107,"00.0%")</f>
        <v>10.0%</v>
      </c>
      <c r="BW3" s="29"/>
      <c r="BX3" s="157" t="s">
        <v>75</v>
      </c>
      <c r="BY3" s="62"/>
      <c r="BZ3" s="62"/>
      <c r="CA3" s="186"/>
    </row>
    <row r="4" spans="1:79" s="3" customFormat="1" ht="67.5" customHeight="1" thickBot="1" x14ac:dyDescent="0.3">
      <c r="A4" s="35" t="s">
        <v>0</v>
      </c>
      <c r="B4" s="44" t="s">
        <v>1</v>
      </c>
      <c r="C4" s="54" t="s">
        <v>2</v>
      </c>
      <c r="D4" s="51" t="s">
        <v>50</v>
      </c>
      <c r="E4" s="36" t="s">
        <v>51</v>
      </c>
      <c r="F4" s="207" t="s">
        <v>52</v>
      </c>
      <c r="G4" s="37" t="s">
        <v>80</v>
      </c>
      <c r="I4" s="190" t="s">
        <v>21</v>
      </c>
      <c r="J4" s="190" t="s">
        <v>78</v>
      </c>
      <c r="K4" s="164">
        <v>36623</v>
      </c>
      <c r="L4" s="164">
        <v>36628</v>
      </c>
      <c r="M4" s="164">
        <v>36631</v>
      </c>
      <c r="N4" s="164">
        <v>36632</v>
      </c>
      <c r="O4" s="164">
        <v>36642</v>
      </c>
      <c r="P4" s="164">
        <v>36667</v>
      </c>
      <c r="Q4" s="164">
        <v>36673</v>
      </c>
      <c r="R4" s="164">
        <v>36674</v>
      </c>
      <c r="S4" s="164">
        <v>36680</v>
      </c>
      <c r="T4" s="164">
        <v>36681</v>
      </c>
      <c r="U4" s="164">
        <v>36689</v>
      </c>
      <c r="V4" s="169" t="s">
        <v>23</v>
      </c>
      <c r="W4" s="183"/>
      <c r="X4" s="175">
        <v>36623</v>
      </c>
      <c r="Y4" s="164">
        <v>36628</v>
      </c>
      <c r="Z4" s="164">
        <v>36631</v>
      </c>
      <c r="AA4" s="164">
        <v>36632</v>
      </c>
      <c r="AB4" s="164">
        <v>36642</v>
      </c>
      <c r="AC4" s="164">
        <v>36667</v>
      </c>
      <c r="AD4" s="164">
        <v>36673</v>
      </c>
      <c r="AE4" s="164">
        <v>36674</v>
      </c>
      <c r="AF4" s="164">
        <v>36680</v>
      </c>
      <c r="AG4" s="164">
        <v>36681</v>
      </c>
      <c r="AH4" s="164">
        <v>36689</v>
      </c>
      <c r="AI4" s="169" t="s">
        <v>23</v>
      </c>
      <c r="AJ4" s="183"/>
      <c r="AK4" s="190" t="s">
        <v>21</v>
      </c>
      <c r="AL4" s="190" t="s">
        <v>78</v>
      </c>
      <c r="AM4" s="175">
        <v>36623</v>
      </c>
      <c r="AN4" s="164">
        <v>36628</v>
      </c>
      <c r="AO4" s="164">
        <v>36631</v>
      </c>
      <c r="AP4" s="164">
        <v>36632</v>
      </c>
      <c r="AQ4" s="164">
        <v>36642</v>
      </c>
      <c r="AR4" s="164">
        <v>36667</v>
      </c>
      <c r="AS4" s="164">
        <v>36673</v>
      </c>
      <c r="AT4" s="164">
        <v>36674</v>
      </c>
      <c r="AU4" s="164">
        <v>36680</v>
      </c>
      <c r="AV4" s="164">
        <v>36681</v>
      </c>
      <c r="AW4" s="164">
        <v>36689</v>
      </c>
      <c r="AX4" s="169" t="s">
        <v>23</v>
      </c>
      <c r="AY4" s="183"/>
      <c r="AZ4" s="175">
        <v>36623</v>
      </c>
      <c r="BA4" s="164">
        <v>36628</v>
      </c>
      <c r="BB4" s="164">
        <v>36631</v>
      </c>
      <c r="BC4" s="164">
        <v>36632</v>
      </c>
      <c r="BD4" s="164">
        <v>36642</v>
      </c>
      <c r="BE4" s="164">
        <v>36667</v>
      </c>
      <c r="BF4" s="164">
        <v>36673</v>
      </c>
      <c r="BG4" s="164">
        <v>36674</v>
      </c>
      <c r="BH4" s="164">
        <v>36680</v>
      </c>
      <c r="BI4" s="164">
        <v>36681</v>
      </c>
      <c r="BJ4" s="164">
        <v>36689</v>
      </c>
      <c r="BK4" s="169" t="s">
        <v>23</v>
      </c>
      <c r="BL4" s="183"/>
      <c r="BM4" s="190" t="s">
        <v>21</v>
      </c>
      <c r="BN4" s="190" t="s">
        <v>78</v>
      </c>
      <c r="BO4" s="175">
        <v>36623</v>
      </c>
      <c r="BP4" s="164">
        <v>36628</v>
      </c>
      <c r="BQ4" s="164">
        <v>36631</v>
      </c>
      <c r="BR4" s="164">
        <v>36632</v>
      </c>
      <c r="BS4" s="164">
        <v>36642</v>
      </c>
      <c r="BT4" s="164">
        <v>36667</v>
      </c>
      <c r="BU4" s="164">
        <v>36673</v>
      </c>
      <c r="BV4" s="164">
        <v>36674</v>
      </c>
      <c r="BW4" s="164">
        <v>36680</v>
      </c>
      <c r="BX4" s="164">
        <v>36681</v>
      </c>
      <c r="BY4" s="164">
        <v>36689</v>
      </c>
      <c r="BZ4" s="169" t="s">
        <v>23</v>
      </c>
      <c r="CA4" s="187"/>
    </row>
    <row r="5" spans="1:79" s="32" customFormat="1" ht="18.75" customHeight="1" x14ac:dyDescent="0.2">
      <c r="A5" s="38" t="s">
        <v>3</v>
      </c>
      <c r="B5" s="45"/>
      <c r="C5" s="55" t="s">
        <v>4</v>
      </c>
      <c r="D5" s="52">
        <f>Summary!$C$106</f>
        <v>5000</v>
      </c>
      <c r="E5" s="41">
        <f>Summary!$C$106</f>
        <v>5000</v>
      </c>
      <c r="F5" s="206" t="s">
        <v>79</v>
      </c>
      <c r="G5" s="209">
        <f>Summary!$C$110</f>
        <v>5000</v>
      </c>
      <c r="I5" s="163"/>
      <c r="J5" s="19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70"/>
      <c r="W5" s="184"/>
      <c r="X5" s="176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70"/>
      <c r="AJ5" s="184"/>
      <c r="AK5" s="163"/>
      <c r="AL5" s="193"/>
      <c r="AM5" s="176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70"/>
      <c r="AY5" s="184"/>
      <c r="AZ5" s="176"/>
      <c r="BA5" s="163"/>
      <c r="BB5" s="163"/>
      <c r="BC5" s="163"/>
      <c r="BD5" s="163"/>
      <c r="BE5" s="163"/>
      <c r="BF5" s="163"/>
      <c r="BG5" s="163"/>
      <c r="BH5" s="163"/>
      <c r="BI5" s="163"/>
      <c r="BJ5" s="163"/>
      <c r="BK5" s="170"/>
      <c r="BL5" s="184"/>
      <c r="BM5" s="163"/>
      <c r="BN5" s="193"/>
      <c r="BO5" s="176"/>
      <c r="BP5" s="163"/>
      <c r="BQ5" s="163"/>
      <c r="BR5" s="163"/>
      <c r="BS5" s="163"/>
      <c r="BT5" s="163"/>
      <c r="BU5" s="163"/>
      <c r="BV5" s="163"/>
      <c r="BW5" s="163"/>
      <c r="BX5" s="163"/>
      <c r="BY5" s="163"/>
      <c r="BZ5" s="170"/>
      <c r="CA5" s="188"/>
    </row>
    <row r="6" spans="1:79" s="32" customFormat="1" ht="19.5" customHeight="1" thickBot="1" x14ac:dyDescent="0.25">
      <c r="A6" s="57" t="s">
        <v>5</v>
      </c>
      <c r="B6" s="58"/>
      <c r="C6" s="59" t="s">
        <v>4</v>
      </c>
      <c r="D6" s="60">
        <f>Summary!$C$107</f>
        <v>0.1</v>
      </c>
      <c r="E6" s="61" t="s">
        <v>4</v>
      </c>
      <c r="F6" s="208">
        <f>Summary!$C$107</f>
        <v>0.1</v>
      </c>
      <c r="G6" s="211" t="s">
        <v>79</v>
      </c>
      <c r="I6" s="159"/>
      <c r="J6" s="194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71"/>
      <c r="W6" s="184"/>
      <c r="X6" s="177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71"/>
      <c r="AJ6" s="184"/>
      <c r="AK6" s="159"/>
      <c r="AL6" s="194"/>
      <c r="AM6" s="177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71"/>
      <c r="AY6" s="184"/>
      <c r="AZ6" s="177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71"/>
      <c r="BL6" s="184"/>
      <c r="BM6" s="159"/>
      <c r="BN6" s="194"/>
      <c r="BO6" s="177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71"/>
      <c r="CA6" s="188"/>
    </row>
    <row r="7" spans="1:79" ht="15.75" x14ac:dyDescent="0.25">
      <c r="A7" s="199">
        <f>I7</f>
        <v>1117</v>
      </c>
      <c r="B7" s="199" t="str">
        <f>J7</f>
        <v>CTARGAS</v>
      </c>
      <c r="C7" s="56" t="str">
        <f xml:space="preserve"> V7</f>
        <v xml:space="preserve"> </v>
      </c>
      <c r="D7" s="53" t="str">
        <f>AI7</f>
        <v xml:space="preserve"> </v>
      </c>
      <c r="E7" s="39" t="str">
        <f>BK7</f>
        <v xml:space="preserve"> </v>
      </c>
      <c r="F7" s="39">
        <f>BZ7</f>
        <v>2</v>
      </c>
      <c r="G7" s="210" t="str">
        <f>AX7</f>
        <v xml:space="preserve"> </v>
      </c>
      <c r="I7" s="160">
        <v>1117</v>
      </c>
      <c r="J7" s="195" t="s">
        <v>8</v>
      </c>
      <c r="K7" s="162" t="str">
        <f t="shared" ref="K7:K23" si="0">VLOOKUP($I7,ctar0407,17,FALSE)</f>
        <v xml:space="preserve"> </v>
      </c>
      <c r="L7" s="162" t="str">
        <f t="shared" ref="L7:L23" si="1">VLOOKUP($I7,ctar0412,17,FALSE)</f>
        <v xml:space="preserve"> </v>
      </c>
      <c r="M7" s="162" t="str">
        <f t="shared" ref="M7:M23" si="2">VLOOKUP($I7,ctar0415,17,FALSE)</f>
        <v xml:space="preserve"> </v>
      </c>
      <c r="N7" s="162" t="str">
        <f t="shared" ref="N7:N23" si="3">VLOOKUP($I7,ctar0416,17,FALSE)</f>
        <v xml:space="preserve"> </v>
      </c>
      <c r="O7" s="162" t="str">
        <f t="shared" ref="O7:O23" si="4">VLOOKUP($I7,ctar0426,17,FALSE)</f>
        <v xml:space="preserve"> </v>
      </c>
      <c r="P7" s="162" t="str">
        <f t="shared" ref="P7:P23" si="5">VLOOKUP($I7,ctar0521,17,FALSE)</f>
        <v xml:space="preserve"> </v>
      </c>
      <c r="Q7" s="162" t="str">
        <f t="shared" ref="Q7:Q23" si="6">VLOOKUP($I7,ctar0527,17,FALSE)</f>
        <v xml:space="preserve"> </v>
      </c>
      <c r="R7" s="162" t="str">
        <f t="shared" ref="R7:R23" si="7">VLOOKUP($I7,ctar0528,17,FALSE)</f>
        <v xml:space="preserve"> </v>
      </c>
      <c r="S7" s="162" t="str">
        <f t="shared" ref="S7:S23" si="8">VLOOKUP($I7,ctar0603,17,FALSE)</f>
        <v xml:space="preserve"> </v>
      </c>
      <c r="T7" s="162" t="str">
        <f t="shared" ref="T7:T23" si="9">VLOOKUP($I7,ctar0604,17,FALSE)</f>
        <v xml:space="preserve"> </v>
      </c>
      <c r="U7" s="162" t="str">
        <f t="shared" ref="U7:U23" si="10">VLOOKUP($I7,ctar0612,17,FALSE)</f>
        <v xml:space="preserve"> </v>
      </c>
      <c r="V7" s="172" t="str">
        <f t="shared" ref="V7:V38" si="11">IF(COUNTIF(K7:U7,"x")=0," ",COUNTIF(K7:U7,"x"))</f>
        <v xml:space="preserve"> </v>
      </c>
      <c r="W7" s="185"/>
      <c r="X7" s="178" t="str">
        <f t="shared" ref="X7:X23" si="12">VLOOKUP($I7,ctar0407,18,FALSE)</f>
        <v xml:space="preserve"> </v>
      </c>
      <c r="Y7" s="162" t="str">
        <f t="shared" ref="Y7:Y23" si="13">VLOOKUP($I7,ctar0412,18,FALSE)</f>
        <v xml:space="preserve"> </v>
      </c>
      <c r="Z7" s="162" t="str">
        <f t="shared" ref="Z7:Z23" si="14">VLOOKUP($I7,ctar0415,18,FALSE)</f>
        <v xml:space="preserve"> </v>
      </c>
      <c r="AA7" s="162" t="str">
        <f t="shared" ref="AA7:AA23" si="15">VLOOKUP($I7,ctar0416,18,FALSE)</f>
        <v xml:space="preserve"> </v>
      </c>
      <c r="AB7" s="162" t="str">
        <f t="shared" ref="AB7:AB23" si="16">VLOOKUP($I7,ctar0426,18,FALSE)</f>
        <v xml:space="preserve"> </v>
      </c>
      <c r="AC7" s="162" t="str">
        <f t="shared" ref="AC7:AC23" si="17">VLOOKUP($I7,ctar0521,18,FALSE)</f>
        <v xml:space="preserve"> </v>
      </c>
      <c r="AD7" s="162" t="str">
        <f t="shared" ref="AD7:AD23" si="18">VLOOKUP($I7,ctar0527,18,FALSE)</f>
        <v xml:space="preserve"> </v>
      </c>
      <c r="AE7" s="162" t="str">
        <f t="shared" ref="AE7:AE23" si="19">VLOOKUP($I7,ctar0528,18,FALSE)</f>
        <v xml:space="preserve"> </v>
      </c>
      <c r="AF7" s="162" t="str">
        <f t="shared" ref="AF7:AF23" si="20">VLOOKUP($I7,ctar0603,18,FALSE)</f>
        <v xml:space="preserve"> </v>
      </c>
      <c r="AG7" s="162" t="str">
        <f t="shared" ref="AG7:AG23" si="21">VLOOKUP($I7,ctar0604,18,FALSE)</f>
        <v xml:space="preserve"> </v>
      </c>
      <c r="AH7" s="162" t="str">
        <f t="shared" ref="AH7:AH23" si="22">VLOOKUP($I7,ctar0612,18,FALSE)</f>
        <v xml:space="preserve"> </v>
      </c>
      <c r="AI7" s="172" t="str">
        <f t="shared" ref="AI7:AI38" si="23">IF(COUNTIF(X7:AH7,"x")=0," ",COUNTIF(X7:AH7,"x"))</f>
        <v xml:space="preserve"> </v>
      </c>
      <c r="AJ7" s="185"/>
      <c r="AK7" s="160">
        <v>1117</v>
      </c>
      <c r="AL7" s="195" t="s">
        <v>8</v>
      </c>
      <c r="AM7" s="178" t="str">
        <f t="shared" ref="AM7:AM23" si="24">VLOOKUP($I7,ctar0407,19,FALSE)</f>
        <v xml:space="preserve"> </v>
      </c>
      <c r="AN7" s="162" t="str">
        <f t="shared" ref="AN7:AN23" si="25">VLOOKUP($I7,ctar0412,19,FALSE)</f>
        <v xml:space="preserve"> </v>
      </c>
      <c r="AO7" s="162" t="str">
        <f t="shared" ref="AO7:AO23" si="26">VLOOKUP($I7,ctar0415,19,FALSE)</f>
        <v xml:space="preserve"> </v>
      </c>
      <c r="AP7" s="162" t="str">
        <f t="shared" ref="AP7:AP23" si="27">VLOOKUP($I7,ctar0416,19,FALSE)</f>
        <v xml:space="preserve"> </v>
      </c>
      <c r="AQ7" s="162" t="str">
        <f t="shared" ref="AQ7:AQ23" si="28">VLOOKUP($I7,ctar0426,19,FALSE)</f>
        <v xml:space="preserve"> </v>
      </c>
      <c r="AR7" s="162" t="str">
        <f t="shared" ref="AR7:AR23" si="29">VLOOKUP($I7,ctar0521,19,FALSE)</f>
        <v xml:space="preserve"> </v>
      </c>
      <c r="AS7" s="162" t="str">
        <f t="shared" ref="AS7:AS23" si="30">VLOOKUP($I7,ctar0527,19,FALSE)</f>
        <v xml:space="preserve"> </v>
      </c>
      <c r="AT7" s="162" t="str">
        <f t="shared" ref="AT7:AT23" si="31">VLOOKUP($I7,ctar0528,19,FALSE)</f>
        <v xml:space="preserve"> </v>
      </c>
      <c r="AU7" s="162" t="str">
        <f t="shared" ref="AU7:AU23" si="32">VLOOKUP($I7,ctar0603,19,FALSE)</f>
        <v xml:space="preserve"> </v>
      </c>
      <c r="AV7" s="162" t="str">
        <f t="shared" ref="AV7:AV23" si="33">VLOOKUP($I7,ctar0604,19,FALSE)</f>
        <v xml:space="preserve"> </v>
      </c>
      <c r="AW7" s="162" t="str">
        <f t="shared" ref="AW7:AW23" si="34">VLOOKUP($I7,ctar0612,19,FALSE)</f>
        <v xml:space="preserve"> </v>
      </c>
      <c r="AX7" s="172" t="str">
        <f t="shared" ref="AX7:AX38" si="35">IF(COUNTIF(AM7:AW7,"x")=0," ",COUNTIF(AM7:AW7,"x"))</f>
        <v xml:space="preserve"> </v>
      </c>
      <c r="AY7" s="185"/>
      <c r="AZ7" s="178" t="str">
        <f t="shared" ref="AZ7:AZ23" si="36">VLOOKUP($I7,ctar0407,20,FALSE)</f>
        <v xml:space="preserve"> </v>
      </c>
      <c r="BA7" s="162" t="str">
        <f t="shared" ref="BA7:BA23" si="37">VLOOKUP($I7,ctar0412,20,FALSE)</f>
        <v xml:space="preserve"> </v>
      </c>
      <c r="BB7" s="162" t="str">
        <f t="shared" ref="BB7:BB23" si="38">VLOOKUP($I7,ctar0415,20,FALSE)</f>
        <v xml:space="preserve"> </v>
      </c>
      <c r="BC7" s="162" t="str">
        <f t="shared" ref="BC7:BC23" si="39">VLOOKUP($I7,ctar0416,20,FALSE)</f>
        <v xml:space="preserve"> </v>
      </c>
      <c r="BD7" s="162" t="str">
        <f t="shared" ref="BD7:BD23" si="40">VLOOKUP($I7,ctar0426,20,FALSE)</f>
        <v xml:space="preserve"> </v>
      </c>
      <c r="BE7" s="162" t="str">
        <f t="shared" ref="BE7:BE23" si="41">VLOOKUP($I7,ctar0521,20,FALSE)</f>
        <v xml:space="preserve"> </v>
      </c>
      <c r="BF7" s="162" t="str">
        <f t="shared" ref="BF7:BF23" si="42">VLOOKUP($I7,ctar0527,20,FALSE)</f>
        <v xml:space="preserve"> </v>
      </c>
      <c r="BG7" s="162" t="str">
        <f t="shared" ref="BG7:BG23" si="43">VLOOKUP($I7,ctar0528,20,FALSE)</f>
        <v xml:space="preserve"> </v>
      </c>
      <c r="BH7" s="162" t="str">
        <f t="shared" ref="BH7:BH23" si="44">VLOOKUP($I7,ctar0603,20,FALSE)</f>
        <v xml:space="preserve"> </v>
      </c>
      <c r="BI7" s="162" t="str">
        <f t="shared" ref="BI7:BI23" si="45">VLOOKUP($I7,ctar0604,20,FALSE)</f>
        <v xml:space="preserve"> </v>
      </c>
      <c r="BJ7" s="162" t="str">
        <f t="shared" ref="BJ7:BJ23" si="46">VLOOKUP($I7,ctar0612,20,FALSE)</f>
        <v xml:space="preserve"> </v>
      </c>
      <c r="BK7" s="172" t="str">
        <f t="shared" ref="BK7:BK38" si="47">IF(COUNTIF(AZ7:BJ7,"x")=0," ",COUNTIF(AZ7:BJ7,"x"))</f>
        <v xml:space="preserve"> </v>
      </c>
      <c r="BL7" s="185"/>
      <c r="BM7" s="160">
        <v>1117</v>
      </c>
      <c r="BN7" s="195" t="s">
        <v>8</v>
      </c>
      <c r="BO7" s="178" t="str">
        <f t="shared" ref="BO7:BO23" si="48">VLOOKUP($I7,ctar0407,21,FALSE)</f>
        <v xml:space="preserve"> </v>
      </c>
      <c r="BP7" s="162" t="str">
        <f t="shared" ref="BP7:BP23" si="49">VLOOKUP($I7,ctar0412,21,FALSE)</f>
        <v xml:space="preserve"> </v>
      </c>
      <c r="BQ7" s="162" t="str">
        <f t="shared" ref="BQ7:BQ23" si="50">VLOOKUP($I7,ctar0415,21,FALSE)</f>
        <v xml:space="preserve"> </v>
      </c>
      <c r="BR7" s="162" t="str">
        <f t="shared" ref="BR7:BR23" si="51">VLOOKUP($I7,ctar0416,21,FALSE)</f>
        <v xml:space="preserve"> </v>
      </c>
      <c r="BS7" s="162" t="str">
        <f t="shared" ref="BS7:BS23" si="52">VLOOKUP($I7,ctar0426,21,FALSE)</f>
        <v>X</v>
      </c>
      <c r="BT7" s="162" t="str">
        <f t="shared" ref="BT7:BT23" si="53">VLOOKUP($I7,ctar0521,21,FALSE)</f>
        <v>X</v>
      </c>
      <c r="BU7" s="162" t="str">
        <f t="shared" ref="BU7:BU23" si="54">VLOOKUP($I7,ctar0527,21,FALSE)</f>
        <v xml:space="preserve"> </v>
      </c>
      <c r="BV7" s="162" t="str">
        <f t="shared" ref="BV7:BV23" si="55">VLOOKUP($I7,ctar0528,21,FALSE)</f>
        <v xml:space="preserve"> </v>
      </c>
      <c r="BW7" s="162" t="str">
        <f t="shared" ref="BW7:BW23" si="56">VLOOKUP($I7,ctar0603,21,FALSE)</f>
        <v xml:space="preserve"> </v>
      </c>
      <c r="BX7" s="162" t="str">
        <f t="shared" ref="BX7:BX23" si="57">VLOOKUP($I7,ctar0604,21,FALSE)</f>
        <v xml:space="preserve"> </v>
      </c>
      <c r="BY7" s="162" t="str">
        <f t="shared" ref="BY7:BY23" si="58">VLOOKUP($I7,ctar0612,21,FALSE)</f>
        <v xml:space="preserve"> </v>
      </c>
      <c r="BZ7" s="172">
        <f t="shared" ref="BZ7:BZ38" si="59">IF(COUNTIF(BO7:BY7,"x")=0," ",COUNTIF(BO7:BY7,"x"))</f>
        <v>2</v>
      </c>
      <c r="CA7" s="189"/>
    </row>
    <row r="8" spans="1:79" ht="15.75" x14ac:dyDescent="0.25">
      <c r="A8" s="199">
        <f t="shared" ref="A8:A71" si="60">I8</f>
        <v>1126</v>
      </c>
      <c r="B8" s="199" t="str">
        <f t="shared" ref="B8:B71" si="61">J8</f>
        <v>CTARGAS</v>
      </c>
      <c r="C8" s="56" t="str">
        <f t="shared" ref="C8:C71" si="62" xml:space="preserve"> V8</f>
        <v xml:space="preserve"> </v>
      </c>
      <c r="D8" s="53" t="str">
        <f t="shared" ref="D8:D71" si="63">AI8</f>
        <v xml:space="preserve"> </v>
      </c>
      <c r="E8" s="39" t="str">
        <f t="shared" ref="E8:E71" si="64">BK8</f>
        <v xml:space="preserve"> </v>
      </c>
      <c r="F8" s="39" t="str">
        <f t="shared" ref="F8:F71" si="65">BZ8</f>
        <v xml:space="preserve"> </v>
      </c>
      <c r="G8" s="210" t="str">
        <f t="shared" ref="G8:G71" si="66">AX8</f>
        <v xml:space="preserve"> </v>
      </c>
      <c r="I8" s="160">
        <v>1126</v>
      </c>
      <c r="J8" s="195" t="s">
        <v>8</v>
      </c>
      <c r="K8" s="162" t="str">
        <f t="shared" si="0"/>
        <v xml:space="preserve"> </v>
      </c>
      <c r="L8" s="162" t="str">
        <f t="shared" si="1"/>
        <v xml:space="preserve"> </v>
      </c>
      <c r="M8" s="162" t="str">
        <f t="shared" si="2"/>
        <v xml:space="preserve"> </v>
      </c>
      <c r="N8" s="162" t="str">
        <f t="shared" si="3"/>
        <v xml:space="preserve"> </v>
      </c>
      <c r="O8" s="162" t="str">
        <f t="shared" si="4"/>
        <v xml:space="preserve"> </v>
      </c>
      <c r="P8" s="162" t="str">
        <f t="shared" si="5"/>
        <v xml:space="preserve"> </v>
      </c>
      <c r="Q8" s="162" t="str">
        <f t="shared" si="6"/>
        <v xml:space="preserve"> </v>
      </c>
      <c r="R8" s="162" t="str">
        <f t="shared" si="7"/>
        <v xml:space="preserve"> </v>
      </c>
      <c r="S8" s="162" t="str">
        <f t="shared" si="8"/>
        <v xml:space="preserve"> </v>
      </c>
      <c r="T8" s="162" t="str">
        <f t="shared" si="9"/>
        <v xml:space="preserve"> </v>
      </c>
      <c r="U8" s="162" t="str">
        <f t="shared" si="10"/>
        <v xml:space="preserve"> </v>
      </c>
      <c r="V8" s="172" t="str">
        <f t="shared" si="11"/>
        <v xml:space="preserve"> </v>
      </c>
      <c r="W8" s="185"/>
      <c r="X8" s="178" t="str">
        <f t="shared" si="12"/>
        <v xml:space="preserve"> </v>
      </c>
      <c r="Y8" s="162" t="str">
        <f t="shared" si="13"/>
        <v xml:space="preserve"> </v>
      </c>
      <c r="Z8" s="162" t="str">
        <f t="shared" si="14"/>
        <v xml:space="preserve"> </v>
      </c>
      <c r="AA8" s="162" t="str">
        <f t="shared" si="15"/>
        <v xml:space="preserve"> </v>
      </c>
      <c r="AB8" s="162" t="str">
        <f t="shared" si="16"/>
        <v xml:space="preserve"> </v>
      </c>
      <c r="AC8" s="162" t="str">
        <f t="shared" si="17"/>
        <v xml:space="preserve"> </v>
      </c>
      <c r="AD8" s="162" t="str">
        <f t="shared" si="18"/>
        <v xml:space="preserve"> </v>
      </c>
      <c r="AE8" s="162" t="str">
        <f t="shared" si="19"/>
        <v xml:space="preserve"> </v>
      </c>
      <c r="AF8" s="162" t="str">
        <f t="shared" si="20"/>
        <v xml:space="preserve"> </v>
      </c>
      <c r="AG8" s="162" t="str">
        <f t="shared" si="21"/>
        <v xml:space="preserve"> </v>
      </c>
      <c r="AH8" s="162" t="str">
        <f t="shared" si="22"/>
        <v xml:space="preserve"> </v>
      </c>
      <c r="AI8" s="172" t="str">
        <f t="shared" si="23"/>
        <v xml:space="preserve"> </v>
      </c>
      <c r="AJ8" s="185"/>
      <c r="AK8" s="160">
        <v>1126</v>
      </c>
      <c r="AL8" s="195" t="s">
        <v>8</v>
      </c>
      <c r="AM8" s="178" t="str">
        <f t="shared" si="24"/>
        <v xml:space="preserve"> </v>
      </c>
      <c r="AN8" s="162" t="str">
        <f t="shared" si="25"/>
        <v xml:space="preserve"> </v>
      </c>
      <c r="AO8" s="162" t="str">
        <f t="shared" si="26"/>
        <v xml:space="preserve"> </v>
      </c>
      <c r="AP8" s="162" t="str">
        <f t="shared" si="27"/>
        <v xml:space="preserve"> </v>
      </c>
      <c r="AQ8" s="162" t="str">
        <f t="shared" si="28"/>
        <v xml:space="preserve"> </v>
      </c>
      <c r="AR8" s="162" t="str">
        <f t="shared" si="29"/>
        <v xml:space="preserve"> </v>
      </c>
      <c r="AS8" s="162" t="str">
        <f t="shared" si="30"/>
        <v xml:space="preserve"> </v>
      </c>
      <c r="AT8" s="162" t="str">
        <f t="shared" si="31"/>
        <v xml:space="preserve"> </v>
      </c>
      <c r="AU8" s="162" t="str">
        <f t="shared" si="32"/>
        <v xml:space="preserve"> </v>
      </c>
      <c r="AV8" s="162" t="str">
        <f t="shared" si="33"/>
        <v xml:space="preserve"> </v>
      </c>
      <c r="AW8" s="162" t="str">
        <f t="shared" si="34"/>
        <v xml:space="preserve"> </v>
      </c>
      <c r="AX8" s="172" t="str">
        <f t="shared" si="35"/>
        <v xml:space="preserve"> </v>
      </c>
      <c r="AY8" s="185"/>
      <c r="AZ8" s="178" t="str">
        <f t="shared" si="36"/>
        <v xml:space="preserve"> </v>
      </c>
      <c r="BA8" s="162" t="str">
        <f t="shared" si="37"/>
        <v xml:space="preserve"> </v>
      </c>
      <c r="BB8" s="162" t="str">
        <f t="shared" si="38"/>
        <v xml:space="preserve"> </v>
      </c>
      <c r="BC8" s="162" t="str">
        <f t="shared" si="39"/>
        <v xml:space="preserve"> </v>
      </c>
      <c r="BD8" s="162" t="str">
        <f t="shared" si="40"/>
        <v xml:space="preserve"> </v>
      </c>
      <c r="BE8" s="162" t="str">
        <f t="shared" si="41"/>
        <v xml:space="preserve"> </v>
      </c>
      <c r="BF8" s="162" t="str">
        <f t="shared" si="42"/>
        <v xml:space="preserve"> </v>
      </c>
      <c r="BG8" s="162" t="str">
        <f t="shared" si="43"/>
        <v xml:space="preserve"> </v>
      </c>
      <c r="BH8" s="162" t="str">
        <f t="shared" si="44"/>
        <v xml:space="preserve"> </v>
      </c>
      <c r="BI8" s="162" t="str">
        <f t="shared" si="45"/>
        <v xml:space="preserve"> </v>
      </c>
      <c r="BJ8" s="162" t="str">
        <f t="shared" si="46"/>
        <v xml:space="preserve"> </v>
      </c>
      <c r="BK8" s="172" t="str">
        <f t="shared" si="47"/>
        <v xml:space="preserve"> </v>
      </c>
      <c r="BL8" s="185"/>
      <c r="BM8" s="160">
        <v>1126</v>
      </c>
      <c r="BN8" s="195" t="s">
        <v>8</v>
      </c>
      <c r="BO8" s="178" t="str">
        <f t="shared" si="48"/>
        <v xml:space="preserve"> </v>
      </c>
      <c r="BP8" s="162" t="str">
        <f t="shared" si="49"/>
        <v xml:space="preserve"> </v>
      </c>
      <c r="BQ8" s="162" t="str">
        <f t="shared" si="50"/>
        <v xml:space="preserve"> </v>
      </c>
      <c r="BR8" s="162" t="str">
        <f t="shared" si="51"/>
        <v xml:space="preserve"> </v>
      </c>
      <c r="BS8" s="162" t="str">
        <f t="shared" si="52"/>
        <v xml:space="preserve"> </v>
      </c>
      <c r="BT8" s="162" t="str">
        <f t="shared" si="53"/>
        <v xml:space="preserve"> </v>
      </c>
      <c r="BU8" s="162" t="str">
        <f t="shared" si="54"/>
        <v xml:space="preserve"> </v>
      </c>
      <c r="BV8" s="162" t="str">
        <f t="shared" si="55"/>
        <v xml:space="preserve"> </v>
      </c>
      <c r="BW8" s="162" t="str">
        <f t="shared" si="56"/>
        <v xml:space="preserve"> </v>
      </c>
      <c r="BX8" s="162" t="str">
        <f t="shared" si="57"/>
        <v xml:space="preserve"> </v>
      </c>
      <c r="BY8" s="162" t="str">
        <f t="shared" si="58"/>
        <v xml:space="preserve"> </v>
      </c>
      <c r="BZ8" s="172" t="str">
        <f t="shared" si="59"/>
        <v xml:space="preserve"> </v>
      </c>
      <c r="CA8" s="189"/>
    </row>
    <row r="9" spans="1:79" ht="15.75" x14ac:dyDescent="0.25">
      <c r="A9" s="199">
        <f t="shared" si="60"/>
        <v>1157</v>
      </c>
      <c r="B9" s="199" t="str">
        <f t="shared" si="61"/>
        <v>CTARGAS</v>
      </c>
      <c r="C9" s="56" t="str">
        <f t="shared" si="62"/>
        <v xml:space="preserve"> </v>
      </c>
      <c r="D9" s="53" t="str">
        <f t="shared" si="63"/>
        <v xml:space="preserve"> </v>
      </c>
      <c r="E9" s="39" t="str">
        <f t="shared" si="64"/>
        <v xml:space="preserve"> </v>
      </c>
      <c r="F9" s="39">
        <f t="shared" si="65"/>
        <v>1</v>
      </c>
      <c r="G9" s="210" t="str">
        <f t="shared" si="66"/>
        <v xml:space="preserve"> </v>
      </c>
      <c r="I9" s="160">
        <v>1157</v>
      </c>
      <c r="J9" s="195" t="s">
        <v>8</v>
      </c>
      <c r="K9" s="162" t="str">
        <f t="shared" si="0"/>
        <v xml:space="preserve"> </v>
      </c>
      <c r="L9" s="162" t="str">
        <f t="shared" si="1"/>
        <v xml:space="preserve"> </v>
      </c>
      <c r="M9" s="162" t="str">
        <f t="shared" si="2"/>
        <v xml:space="preserve"> </v>
      </c>
      <c r="N9" s="162" t="str">
        <f t="shared" si="3"/>
        <v xml:space="preserve"> </v>
      </c>
      <c r="O9" s="162" t="str">
        <f t="shared" si="4"/>
        <v xml:space="preserve"> </v>
      </c>
      <c r="P9" s="162" t="str">
        <f t="shared" si="5"/>
        <v xml:space="preserve"> </v>
      </c>
      <c r="Q9" s="162" t="str">
        <f t="shared" si="6"/>
        <v xml:space="preserve"> </v>
      </c>
      <c r="R9" s="162" t="str">
        <f t="shared" si="7"/>
        <v xml:space="preserve"> </v>
      </c>
      <c r="S9" s="162" t="str">
        <f t="shared" si="8"/>
        <v xml:space="preserve"> </v>
      </c>
      <c r="T9" s="162" t="str">
        <f t="shared" si="9"/>
        <v xml:space="preserve"> </v>
      </c>
      <c r="U9" s="162" t="str">
        <f t="shared" si="10"/>
        <v xml:space="preserve"> </v>
      </c>
      <c r="V9" s="172" t="str">
        <f t="shared" si="11"/>
        <v xml:space="preserve"> </v>
      </c>
      <c r="W9" s="185"/>
      <c r="X9" s="178" t="str">
        <f t="shared" si="12"/>
        <v xml:space="preserve"> </v>
      </c>
      <c r="Y9" s="162" t="str">
        <f t="shared" si="13"/>
        <v xml:space="preserve"> </v>
      </c>
      <c r="Z9" s="162" t="str">
        <f t="shared" si="14"/>
        <v xml:space="preserve"> </v>
      </c>
      <c r="AA9" s="162" t="str">
        <f t="shared" si="15"/>
        <v xml:space="preserve"> </v>
      </c>
      <c r="AB9" s="162" t="str">
        <f t="shared" si="16"/>
        <v xml:space="preserve"> </v>
      </c>
      <c r="AC9" s="162" t="str">
        <f t="shared" si="17"/>
        <v xml:space="preserve"> </v>
      </c>
      <c r="AD9" s="162" t="str">
        <f t="shared" si="18"/>
        <v xml:space="preserve"> </v>
      </c>
      <c r="AE9" s="162" t="str">
        <f t="shared" si="19"/>
        <v xml:space="preserve"> </v>
      </c>
      <c r="AF9" s="162" t="str">
        <f t="shared" si="20"/>
        <v xml:space="preserve"> </v>
      </c>
      <c r="AG9" s="162" t="str">
        <f t="shared" si="21"/>
        <v xml:space="preserve"> </v>
      </c>
      <c r="AH9" s="162" t="str">
        <f t="shared" si="22"/>
        <v xml:space="preserve"> </v>
      </c>
      <c r="AI9" s="172" t="str">
        <f t="shared" si="23"/>
        <v xml:space="preserve"> </v>
      </c>
      <c r="AJ9" s="185"/>
      <c r="AK9" s="160">
        <v>1157</v>
      </c>
      <c r="AL9" s="195" t="s">
        <v>8</v>
      </c>
      <c r="AM9" s="178" t="str">
        <f t="shared" si="24"/>
        <v xml:space="preserve"> </v>
      </c>
      <c r="AN9" s="162" t="str">
        <f t="shared" si="25"/>
        <v xml:space="preserve"> </v>
      </c>
      <c r="AO9" s="162" t="str">
        <f t="shared" si="26"/>
        <v xml:space="preserve"> </v>
      </c>
      <c r="AP9" s="162" t="str">
        <f t="shared" si="27"/>
        <v xml:space="preserve"> </v>
      </c>
      <c r="AQ9" s="162" t="str">
        <f t="shared" si="28"/>
        <v xml:space="preserve"> </v>
      </c>
      <c r="AR9" s="162" t="str">
        <f t="shared" si="29"/>
        <v xml:space="preserve"> </v>
      </c>
      <c r="AS9" s="162" t="str">
        <f t="shared" si="30"/>
        <v xml:space="preserve"> </v>
      </c>
      <c r="AT9" s="162" t="str">
        <f t="shared" si="31"/>
        <v xml:space="preserve"> </v>
      </c>
      <c r="AU9" s="162" t="str">
        <f t="shared" si="32"/>
        <v xml:space="preserve"> </v>
      </c>
      <c r="AV9" s="162" t="str">
        <f t="shared" si="33"/>
        <v xml:space="preserve"> </v>
      </c>
      <c r="AW9" s="162" t="str">
        <f t="shared" si="34"/>
        <v xml:space="preserve"> </v>
      </c>
      <c r="AX9" s="172" t="str">
        <f t="shared" si="35"/>
        <v xml:space="preserve"> </v>
      </c>
      <c r="AY9" s="185"/>
      <c r="AZ9" s="178" t="str">
        <f t="shared" si="36"/>
        <v xml:space="preserve"> </v>
      </c>
      <c r="BA9" s="162" t="str">
        <f t="shared" si="37"/>
        <v xml:space="preserve"> </v>
      </c>
      <c r="BB9" s="162" t="str">
        <f t="shared" si="38"/>
        <v xml:space="preserve"> </v>
      </c>
      <c r="BC9" s="162" t="str">
        <f t="shared" si="39"/>
        <v xml:space="preserve"> </v>
      </c>
      <c r="BD9" s="162" t="str">
        <f t="shared" si="40"/>
        <v xml:space="preserve"> </v>
      </c>
      <c r="BE9" s="162" t="str">
        <f t="shared" si="41"/>
        <v xml:space="preserve"> </v>
      </c>
      <c r="BF9" s="162" t="str">
        <f t="shared" si="42"/>
        <v xml:space="preserve"> </v>
      </c>
      <c r="BG9" s="162" t="str">
        <f t="shared" si="43"/>
        <v xml:space="preserve"> </v>
      </c>
      <c r="BH9" s="162" t="str">
        <f t="shared" si="44"/>
        <v xml:space="preserve"> </v>
      </c>
      <c r="BI9" s="162" t="str">
        <f t="shared" si="45"/>
        <v xml:space="preserve"> </v>
      </c>
      <c r="BJ9" s="162" t="str">
        <f t="shared" si="46"/>
        <v xml:space="preserve"> </v>
      </c>
      <c r="BK9" s="172" t="str">
        <f t="shared" si="47"/>
        <v xml:space="preserve"> </v>
      </c>
      <c r="BL9" s="185"/>
      <c r="BM9" s="160">
        <v>1157</v>
      </c>
      <c r="BN9" s="195" t="s">
        <v>8</v>
      </c>
      <c r="BO9" s="178" t="str">
        <f t="shared" si="48"/>
        <v xml:space="preserve"> </v>
      </c>
      <c r="BP9" s="162" t="str">
        <f t="shared" si="49"/>
        <v xml:space="preserve"> </v>
      </c>
      <c r="BQ9" s="162" t="str">
        <f t="shared" si="50"/>
        <v xml:space="preserve"> </v>
      </c>
      <c r="BR9" s="162" t="str">
        <f t="shared" si="51"/>
        <v>X</v>
      </c>
      <c r="BS9" s="162" t="str">
        <f t="shared" si="52"/>
        <v xml:space="preserve"> </v>
      </c>
      <c r="BT9" s="162" t="str">
        <f t="shared" si="53"/>
        <v xml:space="preserve"> </v>
      </c>
      <c r="BU9" s="162" t="str">
        <f t="shared" si="54"/>
        <v xml:space="preserve"> </v>
      </c>
      <c r="BV9" s="162" t="str">
        <f t="shared" si="55"/>
        <v xml:space="preserve"> </v>
      </c>
      <c r="BW9" s="162" t="str">
        <f t="shared" si="56"/>
        <v xml:space="preserve"> </v>
      </c>
      <c r="BX9" s="162" t="str">
        <f t="shared" si="57"/>
        <v xml:space="preserve"> </v>
      </c>
      <c r="BY9" s="162" t="str">
        <f t="shared" si="58"/>
        <v xml:space="preserve"> </v>
      </c>
      <c r="BZ9" s="172">
        <f t="shared" si="59"/>
        <v>1</v>
      </c>
      <c r="CA9" s="189"/>
    </row>
    <row r="10" spans="1:79" ht="15.75" x14ac:dyDescent="0.25">
      <c r="A10" s="199">
        <f t="shared" si="60"/>
        <v>1780</v>
      </c>
      <c r="B10" s="199" t="str">
        <f t="shared" si="61"/>
        <v>CTARGAS</v>
      </c>
      <c r="C10" s="56" t="str">
        <f t="shared" si="62"/>
        <v xml:space="preserve"> </v>
      </c>
      <c r="D10" s="53" t="str">
        <f t="shared" si="63"/>
        <v xml:space="preserve"> </v>
      </c>
      <c r="E10" s="39" t="str">
        <f t="shared" si="64"/>
        <v xml:space="preserve"> </v>
      </c>
      <c r="F10" s="39">
        <f t="shared" si="65"/>
        <v>1</v>
      </c>
      <c r="G10" s="210" t="str">
        <f t="shared" si="66"/>
        <v xml:space="preserve"> </v>
      </c>
      <c r="I10" s="160">
        <v>1780</v>
      </c>
      <c r="J10" s="195" t="s">
        <v>8</v>
      </c>
      <c r="K10" s="162" t="str">
        <f t="shared" si="0"/>
        <v xml:space="preserve"> </v>
      </c>
      <c r="L10" s="162" t="str">
        <f t="shared" si="1"/>
        <v xml:space="preserve"> </v>
      </c>
      <c r="M10" s="162" t="str">
        <f t="shared" si="2"/>
        <v xml:space="preserve"> </v>
      </c>
      <c r="N10" s="162" t="str">
        <f t="shared" si="3"/>
        <v xml:space="preserve"> </v>
      </c>
      <c r="O10" s="162" t="str">
        <f t="shared" si="4"/>
        <v xml:space="preserve"> </v>
      </c>
      <c r="P10" s="162" t="str">
        <f t="shared" si="5"/>
        <v xml:space="preserve"> </v>
      </c>
      <c r="Q10" s="162" t="str">
        <f t="shared" si="6"/>
        <v xml:space="preserve"> </v>
      </c>
      <c r="R10" s="162" t="str">
        <f t="shared" si="7"/>
        <v xml:space="preserve"> </v>
      </c>
      <c r="S10" s="162" t="str">
        <f t="shared" si="8"/>
        <v xml:space="preserve"> </v>
      </c>
      <c r="T10" s="162" t="str">
        <f t="shared" si="9"/>
        <v xml:space="preserve"> </v>
      </c>
      <c r="U10" s="162" t="str">
        <f t="shared" si="10"/>
        <v xml:space="preserve"> </v>
      </c>
      <c r="V10" s="172" t="str">
        <f t="shared" si="11"/>
        <v xml:space="preserve"> </v>
      </c>
      <c r="W10" s="185"/>
      <c r="X10" s="178" t="str">
        <f t="shared" si="12"/>
        <v xml:space="preserve"> </v>
      </c>
      <c r="Y10" s="162" t="str">
        <f t="shared" si="13"/>
        <v xml:space="preserve"> </v>
      </c>
      <c r="Z10" s="162" t="str">
        <f t="shared" si="14"/>
        <v xml:space="preserve"> </v>
      </c>
      <c r="AA10" s="162" t="str">
        <f t="shared" si="15"/>
        <v xml:space="preserve"> </v>
      </c>
      <c r="AB10" s="162" t="str">
        <f t="shared" si="16"/>
        <v xml:space="preserve"> </v>
      </c>
      <c r="AC10" s="162" t="str">
        <f t="shared" si="17"/>
        <v xml:space="preserve"> </v>
      </c>
      <c r="AD10" s="162" t="str">
        <f t="shared" si="18"/>
        <v xml:space="preserve"> </v>
      </c>
      <c r="AE10" s="162" t="str">
        <f t="shared" si="19"/>
        <v xml:space="preserve"> </v>
      </c>
      <c r="AF10" s="162" t="str">
        <f t="shared" si="20"/>
        <v xml:space="preserve"> </v>
      </c>
      <c r="AG10" s="162" t="str">
        <f t="shared" si="21"/>
        <v xml:space="preserve"> </v>
      </c>
      <c r="AH10" s="162" t="str">
        <f t="shared" si="22"/>
        <v xml:space="preserve"> </v>
      </c>
      <c r="AI10" s="172" t="str">
        <f t="shared" si="23"/>
        <v xml:space="preserve"> </v>
      </c>
      <c r="AJ10" s="185"/>
      <c r="AK10" s="160">
        <v>1780</v>
      </c>
      <c r="AL10" s="195" t="s">
        <v>8</v>
      </c>
      <c r="AM10" s="178" t="str">
        <f t="shared" si="24"/>
        <v xml:space="preserve"> </v>
      </c>
      <c r="AN10" s="162" t="str">
        <f t="shared" si="25"/>
        <v xml:space="preserve"> </v>
      </c>
      <c r="AO10" s="162" t="str">
        <f t="shared" si="26"/>
        <v xml:space="preserve"> </v>
      </c>
      <c r="AP10" s="162" t="str">
        <f t="shared" si="27"/>
        <v xml:space="preserve"> </v>
      </c>
      <c r="AQ10" s="162" t="str">
        <f t="shared" si="28"/>
        <v xml:space="preserve"> </v>
      </c>
      <c r="AR10" s="162" t="str">
        <f t="shared" si="29"/>
        <v xml:space="preserve"> </v>
      </c>
      <c r="AS10" s="162" t="str">
        <f t="shared" si="30"/>
        <v xml:space="preserve"> </v>
      </c>
      <c r="AT10" s="162" t="str">
        <f t="shared" si="31"/>
        <v xml:space="preserve"> </v>
      </c>
      <c r="AU10" s="162" t="str">
        <f t="shared" si="32"/>
        <v xml:space="preserve"> </v>
      </c>
      <c r="AV10" s="162" t="str">
        <f t="shared" si="33"/>
        <v xml:space="preserve"> </v>
      </c>
      <c r="AW10" s="162" t="str">
        <f t="shared" si="34"/>
        <v xml:space="preserve"> </v>
      </c>
      <c r="AX10" s="172" t="str">
        <f t="shared" si="35"/>
        <v xml:space="preserve"> </v>
      </c>
      <c r="AY10" s="185"/>
      <c r="AZ10" s="178" t="str">
        <f t="shared" si="36"/>
        <v xml:space="preserve"> </v>
      </c>
      <c r="BA10" s="162" t="str">
        <f t="shared" si="37"/>
        <v xml:space="preserve"> </v>
      </c>
      <c r="BB10" s="162" t="str">
        <f t="shared" si="38"/>
        <v xml:space="preserve"> </v>
      </c>
      <c r="BC10" s="162" t="str">
        <f t="shared" si="39"/>
        <v xml:space="preserve"> </v>
      </c>
      <c r="BD10" s="162" t="str">
        <f t="shared" si="40"/>
        <v xml:space="preserve"> </v>
      </c>
      <c r="BE10" s="162" t="str">
        <f t="shared" si="41"/>
        <v xml:space="preserve"> </v>
      </c>
      <c r="BF10" s="162" t="str">
        <f t="shared" si="42"/>
        <v xml:space="preserve"> </v>
      </c>
      <c r="BG10" s="162" t="str">
        <f t="shared" si="43"/>
        <v xml:space="preserve"> </v>
      </c>
      <c r="BH10" s="162" t="str">
        <f t="shared" si="44"/>
        <v xml:space="preserve"> </v>
      </c>
      <c r="BI10" s="162" t="str">
        <f t="shared" si="45"/>
        <v xml:space="preserve"> </v>
      </c>
      <c r="BJ10" s="162" t="str">
        <f t="shared" si="46"/>
        <v xml:space="preserve"> </v>
      </c>
      <c r="BK10" s="172" t="str">
        <f t="shared" si="47"/>
        <v xml:space="preserve"> </v>
      </c>
      <c r="BL10" s="185"/>
      <c r="BM10" s="160">
        <v>1780</v>
      </c>
      <c r="BN10" s="195" t="s">
        <v>8</v>
      </c>
      <c r="BO10" s="178" t="str">
        <f t="shared" si="48"/>
        <v xml:space="preserve"> </v>
      </c>
      <c r="BP10" s="162" t="str">
        <f t="shared" si="49"/>
        <v xml:space="preserve"> </v>
      </c>
      <c r="BQ10" s="162" t="str">
        <f t="shared" si="50"/>
        <v xml:space="preserve"> </v>
      </c>
      <c r="BR10" s="162" t="str">
        <f t="shared" si="51"/>
        <v xml:space="preserve"> </v>
      </c>
      <c r="BS10" s="162" t="str">
        <f t="shared" si="52"/>
        <v xml:space="preserve"> </v>
      </c>
      <c r="BT10" s="162" t="str">
        <f t="shared" si="53"/>
        <v xml:space="preserve"> </v>
      </c>
      <c r="BU10" s="162" t="str">
        <f t="shared" si="54"/>
        <v xml:space="preserve"> </v>
      </c>
      <c r="BV10" s="162" t="str">
        <f t="shared" si="55"/>
        <v xml:space="preserve"> </v>
      </c>
      <c r="BW10" s="162" t="str">
        <f t="shared" si="56"/>
        <v xml:space="preserve"> </v>
      </c>
      <c r="BX10" s="162" t="str">
        <f t="shared" si="57"/>
        <v xml:space="preserve"> </v>
      </c>
      <c r="BY10" s="162" t="str">
        <f t="shared" si="58"/>
        <v>X</v>
      </c>
      <c r="BZ10" s="172">
        <f t="shared" si="59"/>
        <v>1</v>
      </c>
      <c r="CA10" s="189"/>
    </row>
    <row r="11" spans="1:79" ht="15.75" x14ac:dyDescent="0.25">
      <c r="A11" s="199">
        <f t="shared" si="60"/>
        <v>2280</v>
      </c>
      <c r="B11" s="199" t="str">
        <f t="shared" si="61"/>
        <v>CTARGAS</v>
      </c>
      <c r="C11" s="56" t="str">
        <f t="shared" si="62"/>
        <v xml:space="preserve"> </v>
      </c>
      <c r="D11" s="53" t="str">
        <f t="shared" si="63"/>
        <v xml:space="preserve"> </v>
      </c>
      <c r="E11" s="39" t="str">
        <f t="shared" si="64"/>
        <v xml:space="preserve"> </v>
      </c>
      <c r="F11" s="39">
        <f t="shared" si="65"/>
        <v>3</v>
      </c>
      <c r="G11" s="210" t="str">
        <f t="shared" si="66"/>
        <v xml:space="preserve"> </v>
      </c>
      <c r="I11" s="160">
        <v>2280</v>
      </c>
      <c r="J11" s="195" t="s">
        <v>8</v>
      </c>
      <c r="K11" s="162" t="str">
        <f t="shared" si="0"/>
        <v xml:space="preserve"> </v>
      </c>
      <c r="L11" s="162" t="str">
        <f t="shared" si="1"/>
        <v xml:space="preserve"> </v>
      </c>
      <c r="M11" s="162" t="str">
        <f t="shared" si="2"/>
        <v xml:space="preserve"> </v>
      </c>
      <c r="N11" s="162" t="str">
        <f t="shared" si="3"/>
        <v xml:space="preserve"> </v>
      </c>
      <c r="O11" s="162" t="str">
        <f t="shared" si="4"/>
        <v xml:space="preserve"> </v>
      </c>
      <c r="P11" s="162" t="str">
        <f t="shared" si="5"/>
        <v xml:space="preserve"> </v>
      </c>
      <c r="Q11" s="162" t="str">
        <f t="shared" si="6"/>
        <v xml:space="preserve"> </v>
      </c>
      <c r="R11" s="162" t="str">
        <f t="shared" si="7"/>
        <v xml:space="preserve"> </v>
      </c>
      <c r="S11" s="162" t="str">
        <f t="shared" si="8"/>
        <v xml:space="preserve"> </v>
      </c>
      <c r="T11" s="162" t="str">
        <f t="shared" si="9"/>
        <v xml:space="preserve"> </v>
      </c>
      <c r="U11" s="162" t="str">
        <f t="shared" si="10"/>
        <v xml:space="preserve"> </v>
      </c>
      <c r="V11" s="172" t="str">
        <f t="shared" si="11"/>
        <v xml:space="preserve"> </v>
      </c>
      <c r="W11" s="185"/>
      <c r="X11" s="178" t="str">
        <f t="shared" si="12"/>
        <v xml:space="preserve"> </v>
      </c>
      <c r="Y11" s="162" t="str">
        <f t="shared" si="13"/>
        <v xml:space="preserve"> </v>
      </c>
      <c r="Z11" s="162" t="str">
        <f t="shared" si="14"/>
        <v xml:space="preserve"> </v>
      </c>
      <c r="AA11" s="162" t="str">
        <f t="shared" si="15"/>
        <v xml:space="preserve"> </v>
      </c>
      <c r="AB11" s="162" t="str">
        <f t="shared" si="16"/>
        <v xml:space="preserve"> </v>
      </c>
      <c r="AC11" s="162" t="str">
        <f t="shared" si="17"/>
        <v xml:space="preserve"> </v>
      </c>
      <c r="AD11" s="162" t="str">
        <f t="shared" si="18"/>
        <v xml:space="preserve"> </v>
      </c>
      <c r="AE11" s="162" t="str">
        <f t="shared" si="19"/>
        <v xml:space="preserve"> </v>
      </c>
      <c r="AF11" s="162" t="str">
        <f t="shared" si="20"/>
        <v xml:space="preserve"> </v>
      </c>
      <c r="AG11" s="162" t="str">
        <f t="shared" si="21"/>
        <v xml:space="preserve"> </v>
      </c>
      <c r="AH11" s="162" t="str">
        <f t="shared" si="22"/>
        <v xml:space="preserve"> </v>
      </c>
      <c r="AI11" s="172" t="str">
        <f t="shared" si="23"/>
        <v xml:space="preserve"> </v>
      </c>
      <c r="AJ11" s="185"/>
      <c r="AK11" s="160">
        <v>2280</v>
      </c>
      <c r="AL11" s="195" t="s">
        <v>8</v>
      </c>
      <c r="AM11" s="178" t="str">
        <f t="shared" si="24"/>
        <v xml:space="preserve"> </v>
      </c>
      <c r="AN11" s="162" t="str">
        <f t="shared" si="25"/>
        <v xml:space="preserve"> </v>
      </c>
      <c r="AO11" s="162" t="str">
        <f t="shared" si="26"/>
        <v xml:space="preserve"> </v>
      </c>
      <c r="AP11" s="162" t="str">
        <f t="shared" si="27"/>
        <v xml:space="preserve"> </v>
      </c>
      <c r="AQ11" s="162" t="str">
        <f t="shared" si="28"/>
        <v xml:space="preserve"> </v>
      </c>
      <c r="AR11" s="162" t="str">
        <f t="shared" si="29"/>
        <v xml:space="preserve"> </v>
      </c>
      <c r="AS11" s="162" t="str">
        <f t="shared" si="30"/>
        <v xml:space="preserve"> </v>
      </c>
      <c r="AT11" s="162" t="str">
        <f t="shared" si="31"/>
        <v xml:space="preserve"> </v>
      </c>
      <c r="AU11" s="162" t="str">
        <f t="shared" si="32"/>
        <v xml:space="preserve"> </v>
      </c>
      <c r="AV11" s="162" t="str">
        <f t="shared" si="33"/>
        <v xml:space="preserve"> </v>
      </c>
      <c r="AW11" s="162" t="str">
        <f t="shared" si="34"/>
        <v xml:space="preserve"> </v>
      </c>
      <c r="AX11" s="172" t="str">
        <f t="shared" si="35"/>
        <v xml:space="preserve"> </v>
      </c>
      <c r="AY11" s="185"/>
      <c r="AZ11" s="178" t="str">
        <f t="shared" si="36"/>
        <v xml:space="preserve"> </v>
      </c>
      <c r="BA11" s="162" t="str">
        <f t="shared" si="37"/>
        <v xml:space="preserve"> </v>
      </c>
      <c r="BB11" s="162" t="str">
        <f t="shared" si="38"/>
        <v xml:space="preserve"> </v>
      </c>
      <c r="BC11" s="162" t="str">
        <f t="shared" si="39"/>
        <v xml:space="preserve"> </v>
      </c>
      <c r="BD11" s="162" t="str">
        <f t="shared" si="40"/>
        <v xml:space="preserve"> </v>
      </c>
      <c r="BE11" s="162" t="str">
        <f t="shared" si="41"/>
        <v xml:space="preserve"> </v>
      </c>
      <c r="BF11" s="162" t="str">
        <f t="shared" si="42"/>
        <v xml:space="preserve"> </v>
      </c>
      <c r="BG11" s="162" t="str">
        <f t="shared" si="43"/>
        <v xml:space="preserve"> </v>
      </c>
      <c r="BH11" s="162" t="str">
        <f t="shared" si="44"/>
        <v xml:space="preserve"> </v>
      </c>
      <c r="BI11" s="162" t="str">
        <f t="shared" si="45"/>
        <v xml:space="preserve"> </v>
      </c>
      <c r="BJ11" s="162" t="str">
        <f t="shared" si="46"/>
        <v xml:space="preserve"> </v>
      </c>
      <c r="BK11" s="172" t="str">
        <f t="shared" si="47"/>
        <v xml:space="preserve"> </v>
      </c>
      <c r="BL11" s="185"/>
      <c r="BM11" s="160">
        <v>2280</v>
      </c>
      <c r="BN11" s="195" t="s">
        <v>8</v>
      </c>
      <c r="BO11" s="178" t="str">
        <f t="shared" si="48"/>
        <v xml:space="preserve"> </v>
      </c>
      <c r="BP11" s="162" t="str">
        <f t="shared" si="49"/>
        <v xml:space="preserve"> </v>
      </c>
      <c r="BQ11" s="162" t="str">
        <f t="shared" si="50"/>
        <v xml:space="preserve"> </v>
      </c>
      <c r="BR11" s="162" t="str">
        <f t="shared" si="51"/>
        <v xml:space="preserve"> </v>
      </c>
      <c r="BS11" s="162" t="str">
        <f t="shared" si="52"/>
        <v xml:space="preserve"> </v>
      </c>
      <c r="BT11" s="162" t="str">
        <f t="shared" si="53"/>
        <v>X</v>
      </c>
      <c r="BU11" s="162" t="str">
        <f t="shared" si="54"/>
        <v>X</v>
      </c>
      <c r="BV11" s="162" t="str">
        <f t="shared" si="55"/>
        <v>X</v>
      </c>
      <c r="BW11" s="162" t="str">
        <f t="shared" si="56"/>
        <v xml:space="preserve"> </v>
      </c>
      <c r="BX11" s="162" t="str">
        <f t="shared" si="57"/>
        <v xml:space="preserve"> </v>
      </c>
      <c r="BY11" s="162" t="str">
        <f t="shared" si="58"/>
        <v xml:space="preserve"> </v>
      </c>
      <c r="BZ11" s="172">
        <f t="shared" si="59"/>
        <v>3</v>
      </c>
      <c r="CA11" s="189"/>
    </row>
    <row r="12" spans="1:79" ht="15.75" x14ac:dyDescent="0.25">
      <c r="A12" s="199">
        <f t="shared" si="60"/>
        <v>2584</v>
      </c>
      <c r="B12" s="199" t="str">
        <f t="shared" si="61"/>
        <v>CTARGAS</v>
      </c>
      <c r="C12" s="56" t="str">
        <f t="shared" si="62"/>
        <v xml:space="preserve"> </v>
      </c>
      <c r="D12" s="53" t="str">
        <f t="shared" si="63"/>
        <v xml:space="preserve"> </v>
      </c>
      <c r="E12" s="39" t="str">
        <f t="shared" si="64"/>
        <v xml:space="preserve"> </v>
      </c>
      <c r="F12" s="39">
        <f t="shared" si="65"/>
        <v>6</v>
      </c>
      <c r="G12" s="210" t="str">
        <f t="shared" si="66"/>
        <v xml:space="preserve"> </v>
      </c>
      <c r="I12" s="160">
        <v>2584</v>
      </c>
      <c r="J12" s="195" t="s">
        <v>8</v>
      </c>
      <c r="K12" s="162" t="str">
        <f t="shared" si="0"/>
        <v xml:space="preserve"> </v>
      </c>
      <c r="L12" s="162" t="str">
        <f t="shared" si="1"/>
        <v xml:space="preserve"> </v>
      </c>
      <c r="M12" s="162" t="str">
        <f t="shared" si="2"/>
        <v xml:space="preserve"> </v>
      </c>
      <c r="N12" s="162" t="str">
        <f t="shared" si="3"/>
        <v xml:space="preserve"> </v>
      </c>
      <c r="O12" s="162" t="str">
        <f t="shared" si="4"/>
        <v xml:space="preserve"> </v>
      </c>
      <c r="P12" s="162" t="str">
        <f t="shared" si="5"/>
        <v xml:space="preserve"> </v>
      </c>
      <c r="Q12" s="162" t="str">
        <f t="shared" si="6"/>
        <v xml:space="preserve"> </v>
      </c>
      <c r="R12" s="162" t="str">
        <f t="shared" si="7"/>
        <v xml:space="preserve"> </v>
      </c>
      <c r="S12" s="162" t="str">
        <f t="shared" si="8"/>
        <v xml:space="preserve"> </v>
      </c>
      <c r="T12" s="162" t="str">
        <f t="shared" si="9"/>
        <v xml:space="preserve"> </v>
      </c>
      <c r="U12" s="162" t="str">
        <f t="shared" si="10"/>
        <v xml:space="preserve"> </v>
      </c>
      <c r="V12" s="172" t="str">
        <f t="shared" si="11"/>
        <v xml:space="preserve"> </v>
      </c>
      <c r="W12" s="185"/>
      <c r="X12" s="178" t="str">
        <f t="shared" si="12"/>
        <v xml:space="preserve"> </v>
      </c>
      <c r="Y12" s="162" t="str">
        <f t="shared" si="13"/>
        <v xml:space="preserve"> </v>
      </c>
      <c r="Z12" s="162" t="str">
        <f t="shared" si="14"/>
        <v xml:space="preserve"> </v>
      </c>
      <c r="AA12" s="162" t="str">
        <f t="shared" si="15"/>
        <v xml:space="preserve"> </v>
      </c>
      <c r="AB12" s="162" t="str">
        <f t="shared" si="16"/>
        <v xml:space="preserve"> </v>
      </c>
      <c r="AC12" s="162" t="str">
        <f t="shared" si="17"/>
        <v xml:space="preserve"> </v>
      </c>
      <c r="AD12" s="162" t="str">
        <f t="shared" si="18"/>
        <v xml:space="preserve"> </v>
      </c>
      <c r="AE12" s="162" t="str">
        <f t="shared" si="19"/>
        <v xml:space="preserve"> </v>
      </c>
      <c r="AF12" s="162" t="str">
        <f t="shared" si="20"/>
        <v xml:space="preserve"> </v>
      </c>
      <c r="AG12" s="162" t="str">
        <f t="shared" si="21"/>
        <v xml:space="preserve"> </v>
      </c>
      <c r="AH12" s="162" t="str">
        <f t="shared" si="22"/>
        <v xml:space="preserve"> </v>
      </c>
      <c r="AI12" s="172" t="str">
        <f t="shared" si="23"/>
        <v xml:space="preserve"> </v>
      </c>
      <c r="AJ12" s="185"/>
      <c r="AK12" s="160">
        <v>2584</v>
      </c>
      <c r="AL12" s="195" t="s">
        <v>8</v>
      </c>
      <c r="AM12" s="178" t="str">
        <f t="shared" si="24"/>
        <v xml:space="preserve"> </v>
      </c>
      <c r="AN12" s="162" t="str">
        <f t="shared" si="25"/>
        <v xml:space="preserve"> </v>
      </c>
      <c r="AO12" s="162" t="str">
        <f t="shared" si="26"/>
        <v xml:space="preserve"> </v>
      </c>
      <c r="AP12" s="162" t="str">
        <f t="shared" si="27"/>
        <v xml:space="preserve"> </v>
      </c>
      <c r="AQ12" s="162" t="str">
        <f t="shared" si="28"/>
        <v xml:space="preserve"> </v>
      </c>
      <c r="AR12" s="162" t="str">
        <f t="shared" si="29"/>
        <v xml:space="preserve"> </v>
      </c>
      <c r="AS12" s="162" t="str">
        <f t="shared" si="30"/>
        <v xml:space="preserve"> </v>
      </c>
      <c r="AT12" s="162" t="str">
        <f t="shared" si="31"/>
        <v xml:space="preserve"> </v>
      </c>
      <c r="AU12" s="162" t="str">
        <f t="shared" si="32"/>
        <v xml:space="preserve"> </v>
      </c>
      <c r="AV12" s="162" t="str">
        <f t="shared" si="33"/>
        <v xml:space="preserve"> </v>
      </c>
      <c r="AW12" s="162" t="str">
        <f t="shared" si="34"/>
        <v xml:space="preserve"> </v>
      </c>
      <c r="AX12" s="172" t="str">
        <f t="shared" si="35"/>
        <v xml:space="preserve"> </v>
      </c>
      <c r="AY12" s="185"/>
      <c r="AZ12" s="178" t="str">
        <f t="shared" si="36"/>
        <v xml:space="preserve"> </v>
      </c>
      <c r="BA12" s="162" t="str">
        <f t="shared" si="37"/>
        <v xml:space="preserve"> </v>
      </c>
      <c r="BB12" s="162" t="str">
        <f t="shared" si="38"/>
        <v xml:space="preserve"> </v>
      </c>
      <c r="BC12" s="162" t="str">
        <f t="shared" si="39"/>
        <v xml:space="preserve"> </v>
      </c>
      <c r="BD12" s="162" t="str">
        <f t="shared" si="40"/>
        <v xml:space="preserve"> </v>
      </c>
      <c r="BE12" s="162" t="str">
        <f t="shared" si="41"/>
        <v xml:space="preserve"> </v>
      </c>
      <c r="BF12" s="162" t="str">
        <f t="shared" si="42"/>
        <v xml:space="preserve"> </v>
      </c>
      <c r="BG12" s="162" t="str">
        <f t="shared" si="43"/>
        <v xml:space="preserve"> </v>
      </c>
      <c r="BH12" s="162" t="str">
        <f t="shared" si="44"/>
        <v xml:space="preserve"> </v>
      </c>
      <c r="BI12" s="162" t="str">
        <f t="shared" si="45"/>
        <v xml:space="preserve"> </v>
      </c>
      <c r="BJ12" s="162" t="str">
        <f t="shared" si="46"/>
        <v xml:space="preserve"> </v>
      </c>
      <c r="BK12" s="172" t="str">
        <f t="shared" si="47"/>
        <v xml:space="preserve"> </v>
      </c>
      <c r="BL12" s="185"/>
      <c r="BM12" s="160">
        <v>2584</v>
      </c>
      <c r="BN12" s="195" t="s">
        <v>8</v>
      </c>
      <c r="BO12" s="178" t="str">
        <f t="shared" si="48"/>
        <v xml:space="preserve"> </v>
      </c>
      <c r="BP12" s="162" t="str">
        <f t="shared" si="49"/>
        <v xml:space="preserve"> </v>
      </c>
      <c r="BQ12" s="162" t="str">
        <f t="shared" si="50"/>
        <v xml:space="preserve"> </v>
      </c>
      <c r="BR12" s="162" t="str">
        <f t="shared" si="51"/>
        <v>X</v>
      </c>
      <c r="BS12" s="162" t="str">
        <f t="shared" si="52"/>
        <v xml:space="preserve"> </v>
      </c>
      <c r="BT12" s="162" t="str">
        <f t="shared" si="53"/>
        <v>X</v>
      </c>
      <c r="BU12" s="162" t="str">
        <f t="shared" si="54"/>
        <v>X</v>
      </c>
      <c r="BV12" s="162" t="str">
        <f t="shared" si="55"/>
        <v>X</v>
      </c>
      <c r="BW12" s="162" t="str">
        <f t="shared" si="56"/>
        <v>X</v>
      </c>
      <c r="BX12" s="162" t="str">
        <f t="shared" si="57"/>
        <v xml:space="preserve"> </v>
      </c>
      <c r="BY12" s="162" t="str">
        <f t="shared" si="58"/>
        <v>X</v>
      </c>
      <c r="BZ12" s="172">
        <f t="shared" si="59"/>
        <v>6</v>
      </c>
      <c r="CA12" s="189"/>
    </row>
    <row r="13" spans="1:79" ht="15.75" x14ac:dyDescent="0.25">
      <c r="A13" s="199">
        <f t="shared" si="60"/>
        <v>2771</v>
      </c>
      <c r="B13" s="199" t="str">
        <f t="shared" si="61"/>
        <v>CTARGAS</v>
      </c>
      <c r="C13" s="56" t="str">
        <f t="shared" si="62"/>
        <v xml:space="preserve"> </v>
      </c>
      <c r="D13" s="53" t="str">
        <f t="shared" si="63"/>
        <v xml:space="preserve"> </v>
      </c>
      <c r="E13" s="39" t="str">
        <f t="shared" si="64"/>
        <v xml:space="preserve"> </v>
      </c>
      <c r="F13" s="39">
        <f t="shared" si="65"/>
        <v>3</v>
      </c>
      <c r="G13" s="210">
        <f t="shared" si="66"/>
        <v>4</v>
      </c>
      <c r="I13" s="160">
        <v>2771</v>
      </c>
      <c r="J13" s="195" t="s">
        <v>8</v>
      </c>
      <c r="K13" s="162" t="str">
        <f t="shared" si="0"/>
        <v xml:space="preserve"> </v>
      </c>
      <c r="L13" s="162" t="str">
        <f t="shared" si="1"/>
        <v xml:space="preserve"> </v>
      </c>
      <c r="M13" s="162" t="str">
        <f t="shared" si="2"/>
        <v xml:space="preserve"> </v>
      </c>
      <c r="N13" s="162" t="str">
        <f t="shared" si="3"/>
        <v xml:space="preserve"> </v>
      </c>
      <c r="O13" s="162" t="str">
        <f t="shared" si="4"/>
        <v xml:space="preserve"> </v>
      </c>
      <c r="P13" s="162" t="str">
        <f t="shared" si="5"/>
        <v xml:space="preserve"> </v>
      </c>
      <c r="Q13" s="162" t="str">
        <f t="shared" si="6"/>
        <v xml:space="preserve"> </v>
      </c>
      <c r="R13" s="162" t="str">
        <f t="shared" si="7"/>
        <v xml:space="preserve"> </v>
      </c>
      <c r="S13" s="162" t="str">
        <f t="shared" si="8"/>
        <v xml:space="preserve"> </v>
      </c>
      <c r="T13" s="162" t="str">
        <f t="shared" si="9"/>
        <v xml:space="preserve"> </v>
      </c>
      <c r="U13" s="162" t="str">
        <f t="shared" si="10"/>
        <v xml:space="preserve"> </v>
      </c>
      <c r="V13" s="172" t="str">
        <f t="shared" si="11"/>
        <v xml:space="preserve"> </v>
      </c>
      <c r="W13" s="185"/>
      <c r="X13" s="178" t="str">
        <f t="shared" si="12"/>
        <v xml:space="preserve"> </v>
      </c>
      <c r="Y13" s="162" t="str">
        <f t="shared" si="13"/>
        <v xml:space="preserve"> </v>
      </c>
      <c r="Z13" s="162" t="str">
        <f t="shared" si="14"/>
        <v xml:space="preserve"> </v>
      </c>
      <c r="AA13" s="162" t="str">
        <f t="shared" si="15"/>
        <v xml:space="preserve"> </v>
      </c>
      <c r="AB13" s="162" t="str">
        <f t="shared" si="16"/>
        <v xml:space="preserve"> </v>
      </c>
      <c r="AC13" s="162" t="str">
        <f t="shared" si="17"/>
        <v xml:space="preserve"> </v>
      </c>
      <c r="AD13" s="162" t="str">
        <f t="shared" si="18"/>
        <v xml:space="preserve"> </v>
      </c>
      <c r="AE13" s="162" t="str">
        <f t="shared" si="19"/>
        <v xml:space="preserve"> </v>
      </c>
      <c r="AF13" s="162" t="str">
        <f t="shared" si="20"/>
        <v xml:space="preserve"> </v>
      </c>
      <c r="AG13" s="162" t="str">
        <f t="shared" si="21"/>
        <v xml:space="preserve"> </v>
      </c>
      <c r="AH13" s="162" t="str">
        <f t="shared" si="22"/>
        <v xml:space="preserve"> </v>
      </c>
      <c r="AI13" s="172" t="str">
        <f t="shared" si="23"/>
        <v xml:space="preserve"> </v>
      </c>
      <c r="AJ13" s="185"/>
      <c r="AK13" s="160">
        <v>2771</v>
      </c>
      <c r="AL13" s="195" t="s">
        <v>8</v>
      </c>
      <c r="AM13" s="178" t="str">
        <f t="shared" si="24"/>
        <v xml:space="preserve"> </v>
      </c>
      <c r="AN13" s="162" t="str">
        <f t="shared" si="25"/>
        <v xml:space="preserve"> </v>
      </c>
      <c r="AO13" s="162" t="str">
        <f t="shared" si="26"/>
        <v xml:space="preserve"> </v>
      </c>
      <c r="AP13" s="162" t="str">
        <f t="shared" si="27"/>
        <v>X</v>
      </c>
      <c r="AQ13" s="162" t="str">
        <f t="shared" si="28"/>
        <v xml:space="preserve"> </v>
      </c>
      <c r="AR13" s="162" t="str">
        <f t="shared" si="29"/>
        <v>X</v>
      </c>
      <c r="AS13" s="162" t="str">
        <f t="shared" si="30"/>
        <v xml:space="preserve"> </v>
      </c>
      <c r="AT13" s="162" t="str">
        <f t="shared" si="31"/>
        <v xml:space="preserve"> </v>
      </c>
      <c r="AU13" s="162" t="str">
        <f t="shared" si="32"/>
        <v>X</v>
      </c>
      <c r="AV13" s="162" t="str">
        <f t="shared" si="33"/>
        <v>X</v>
      </c>
      <c r="AW13" s="162" t="str">
        <f t="shared" si="34"/>
        <v xml:space="preserve"> </v>
      </c>
      <c r="AX13" s="172">
        <f t="shared" si="35"/>
        <v>4</v>
      </c>
      <c r="AY13" s="185"/>
      <c r="AZ13" s="178" t="str">
        <f t="shared" si="36"/>
        <v xml:space="preserve"> </v>
      </c>
      <c r="BA13" s="162" t="str">
        <f t="shared" si="37"/>
        <v xml:space="preserve"> </v>
      </c>
      <c r="BB13" s="162" t="str">
        <f t="shared" si="38"/>
        <v xml:space="preserve"> </v>
      </c>
      <c r="BC13" s="162" t="str">
        <f t="shared" si="39"/>
        <v xml:space="preserve"> </v>
      </c>
      <c r="BD13" s="162" t="str">
        <f t="shared" si="40"/>
        <v xml:space="preserve"> </v>
      </c>
      <c r="BE13" s="162" t="str">
        <f t="shared" si="41"/>
        <v xml:space="preserve"> </v>
      </c>
      <c r="BF13" s="162" t="str">
        <f t="shared" si="42"/>
        <v xml:space="preserve"> </v>
      </c>
      <c r="BG13" s="162" t="str">
        <f t="shared" si="43"/>
        <v xml:space="preserve"> </v>
      </c>
      <c r="BH13" s="162" t="str">
        <f t="shared" si="44"/>
        <v xml:space="preserve"> </v>
      </c>
      <c r="BI13" s="162" t="str">
        <f t="shared" si="45"/>
        <v xml:space="preserve"> </v>
      </c>
      <c r="BJ13" s="162" t="str">
        <f t="shared" si="46"/>
        <v xml:space="preserve"> </v>
      </c>
      <c r="BK13" s="172" t="str">
        <f t="shared" si="47"/>
        <v xml:space="preserve"> </v>
      </c>
      <c r="BL13" s="185"/>
      <c r="BM13" s="160">
        <v>2771</v>
      </c>
      <c r="BN13" s="195" t="s">
        <v>8</v>
      </c>
      <c r="BO13" s="178" t="str">
        <f t="shared" si="48"/>
        <v>X</v>
      </c>
      <c r="BP13" s="162" t="str">
        <f t="shared" si="49"/>
        <v>X</v>
      </c>
      <c r="BQ13" s="162" t="str">
        <f t="shared" si="50"/>
        <v xml:space="preserve"> </v>
      </c>
      <c r="BR13" s="162" t="str">
        <f t="shared" si="51"/>
        <v xml:space="preserve"> </v>
      </c>
      <c r="BS13" s="162" t="str">
        <f t="shared" si="52"/>
        <v xml:space="preserve"> </v>
      </c>
      <c r="BT13" s="162" t="str">
        <f t="shared" si="53"/>
        <v>X</v>
      </c>
      <c r="BU13" s="162" t="str">
        <f t="shared" si="54"/>
        <v xml:space="preserve"> </v>
      </c>
      <c r="BV13" s="162" t="str">
        <f t="shared" si="55"/>
        <v xml:space="preserve"> </v>
      </c>
      <c r="BW13" s="162" t="str">
        <f t="shared" si="56"/>
        <v xml:space="preserve"> </v>
      </c>
      <c r="BX13" s="162" t="str">
        <f t="shared" si="57"/>
        <v xml:space="preserve"> </v>
      </c>
      <c r="BY13" s="162" t="str">
        <f t="shared" si="58"/>
        <v xml:space="preserve"> </v>
      </c>
      <c r="BZ13" s="172">
        <f t="shared" si="59"/>
        <v>3</v>
      </c>
      <c r="CA13" s="189"/>
    </row>
    <row r="14" spans="1:79" ht="15.75" x14ac:dyDescent="0.25">
      <c r="A14" s="199">
        <f t="shared" si="60"/>
        <v>2832</v>
      </c>
      <c r="B14" s="199" t="str">
        <f t="shared" si="61"/>
        <v>CTARGAS</v>
      </c>
      <c r="C14" s="56" t="str">
        <f t="shared" si="62"/>
        <v xml:space="preserve"> </v>
      </c>
      <c r="D14" s="53" t="str">
        <f t="shared" si="63"/>
        <v xml:space="preserve"> </v>
      </c>
      <c r="E14" s="39" t="str">
        <f t="shared" si="64"/>
        <v xml:space="preserve"> </v>
      </c>
      <c r="F14" s="39">
        <f t="shared" si="65"/>
        <v>2</v>
      </c>
      <c r="G14" s="210" t="str">
        <f t="shared" si="66"/>
        <v xml:space="preserve"> </v>
      </c>
      <c r="I14" s="160">
        <v>2832</v>
      </c>
      <c r="J14" s="195" t="s">
        <v>8</v>
      </c>
      <c r="K14" s="162" t="str">
        <f t="shared" si="0"/>
        <v xml:space="preserve"> </v>
      </c>
      <c r="L14" s="162" t="str">
        <f t="shared" si="1"/>
        <v xml:space="preserve"> </v>
      </c>
      <c r="M14" s="162" t="str">
        <f t="shared" si="2"/>
        <v xml:space="preserve"> </v>
      </c>
      <c r="N14" s="162" t="str">
        <f t="shared" si="3"/>
        <v xml:space="preserve"> </v>
      </c>
      <c r="O14" s="162" t="str">
        <f t="shared" si="4"/>
        <v xml:space="preserve"> </v>
      </c>
      <c r="P14" s="162" t="str">
        <f t="shared" si="5"/>
        <v xml:space="preserve"> </v>
      </c>
      <c r="Q14" s="162" t="str">
        <f t="shared" si="6"/>
        <v xml:space="preserve"> </v>
      </c>
      <c r="R14" s="162" t="str">
        <f t="shared" si="7"/>
        <v xml:space="preserve"> </v>
      </c>
      <c r="S14" s="162" t="str">
        <f t="shared" si="8"/>
        <v xml:space="preserve"> </v>
      </c>
      <c r="T14" s="162" t="str">
        <f t="shared" si="9"/>
        <v xml:space="preserve"> </v>
      </c>
      <c r="U14" s="162" t="str">
        <f t="shared" si="10"/>
        <v xml:space="preserve"> </v>
      </c>
      <c r="V14" s="172" t="str">
        <f t="shared" si="11"/>
        <v xml:space="preserve"> </v>
      </c>
      <c r="W14" s="185"/>
      <c r="X14" s="178" t="str">
        <f t="shared" si="12"/>
        <v xml:space="preserve"> </v>
      </c>
      <c r="Y14" s="162" t="str">
        <f t="shared" si="13"/>
        <v xml:space="preserve"> </v>
      </c>
      <c r="Z14" s="162" t="str">
        <f t="shared" si="14"/>
        <v xml:space="preserve"> </v>
      </c>
      <c r="AA14" s="162" t="str">
        <f t="shared" si="15"/>
        <v xml:space="preserve"> </v>
      </c>
      <c r="AB14" s="162" t="str">
        <f t="shared" si="16"/>
        <v xml:space="preserve"> </v>
      </c>
      <c r="AC14" s="162" t="str">
        <f t="shared" si="17"/>
        <v xml:space="preserve"> </v>
      </c>
      <c r="AD14" s="162" t="str">
        <f t="shared" si="18"/>
        <v xml:space="preserve"> </v>
      </c>
      <c r="AE14" s="162" t="str">
        <f t="shared" si="19"/>
        <v xml:space="preserve"> </v>
      </c>
      <c r="AF14" s="162" t="str">
        <f t="shared" si="20"/>
        <v xml:space="preserve"> </v>
      </c>
      <c r="AG14" s="162" t="str">
        <f t="shared" si="21"/>
        <v xml:space="preserve"> </v>
      </c>
      <c r="AH14" s="162" t="str">
        <f t="shared" si="22"/>
        <v xml:space="preserve"> </v>
      </c>
      <c r="AI14" s="172" t="str">
        <f t="shared" si="23"/>
        <v xml:space="preserve"> </v>
      </c>
      <c r="AJ14" s="185"/>
      <c r="AK14" s="160">
        <v>2832</v>
      </c>
      <c r="AL14" s="195" t="s">
        <v>8</v>
      </c>
      <c r="AM14" s="178" t="str">
        <f t="shared" si="24"/>
        <v xml:space="preserve"> </v>
      </c>
      <c r="AN14" s="162" t="str">
        <f t="shared" si="25"/>
        <v xml:space="preserve"> </v>
      </c>
      <c r="AO14" s="162" t="str">
        <f t="shared" si="26"/>
        <v xml:space="preserve"> </v>
      </c>
      <c r="AP14" s="162" t="str">
        <f t="shared" si="27"/>
        <v xml:space="preserve"> </v>
      </c>
      <c r="AQ14" s="162" t="str">
        <f t="shared" si="28"/>
        <v xml:space="preserve"> </v>
      </c>
      <c r="AR14" s="162" t="str">
        <f t="shared" si="29"/>
        <v xml:space="preserve"> </v>
      </c>
      <c r="AS14" s="162" t="str">
        <f t="shared" si="30"/>
        <v xml:space="preserve"> </v>
      </c>
      <c r="AT14" s="162" t="str">
        <f t="shared" si="31"/>
        <v xml:space="preserve"> </v>
      </c>
      <c r="AU14" s="162" t="str">
        <f t="shared" si="32"/>
        <v xml:space="preserve"> </v>
      </c>
      <c r="AV14" s="162" t="str">
        <f t="shared" si="33"/>
        <v xml:space="preserve"> </v>
      </c>
      <c r="AW14" s="162" t="str">
        <f t="shared" si="34"/>
        <v xml:space="preserve"> </v>
      </c>
      <c r="AX14" s="172" t="str">
        <f t="shared" si="35"/>
        <v xml:space="preserve"> </v>
      </c>
      <c r="AY14" s="185"/>
      <c r="AZ14" s="178" t="str">
        <f t="shared" si="36"/>
        <v xml:space="preserve"> </v>
      </c>
      <c r="BA14" s="162" t="str">
        <f t="shared" si="37"/>
        <v xml:space="preserve"> </v>
      </c>
      <c r="BB14" s="162" t="str">
        <f t="shared" si="38"/>
        <v xml:space="preserve"> </v>
      </c>
      <c r="BC14" s="162" t="str">
        <f t="shared" si="39"/>
        <v xml:space="preserve"> </v>
      </c>
      <c r="BD14" s="162" t="str">
        <f t="shared" si="40"/>
        <v xml:space="preserve"> </v>
      </c>
      <c r="BE14" s="162" t="str">
        <f t="shared" si="41"/>
        <v xml:space="preserve"> </v>
      </c>
      <c r="BF14" s="162" t="str">
        <f t="shared" si="42"/>
        <v xml:space="preserve"> </v>
      </c>
      <c r="BG14" s="162" t="str">
        <f t="shared" si="43"/>
        <v xml:space="preserve"> </v>
      </c>
      <c r="BH14" s="162" t="str">
        <f t="shared" si="44"/>
        <v xml:space="preserve"> </v>
      </c>
      <c r="BI14" s="162" t="str">
        <f t="shared" si="45"/>
        <v xml:space="preserve"> </v>
      </c>
      <c r="BJ14" s="162" t="str">
        <f t="shared" si="46"/>
        <v xml:space="preserve"> </v>
      </c>
      <c r="BK14" s="172" t="str">
        <f t="shared" si="47"/>
        <v xml:space="preserve"> </v>
      </c>
      <c r="BL14" s="185"/>
      <c r="BM14" s="160">
        <v>2832</v>
      </c>
      <c r="BN14" s="195" t="s">
        <v>8</v>
      </c>
      <c r="BO14" s="178" t="str">
        <f t="shared" si="48"/>
        <v xml:space="preserve"> </v>
      </c>
      <c r="BP14" s="162" t="str">
        <f t="shared" si="49"/>
        <v xml:space="preserve"> </v>
      </c>
      <c r="BQ14" s="162" t="str">
        <f t="shared" si="50"/>
        <v>X</v>
      </c>
      <c r="BR14" s="162" t="str">
        <f t="shared" si="51"/>
        <v>X</v>
      </c>
      <c r="BS14" s="162" t="str">
        <f t="shared" si="52"/>
        <v xml:space="preserve"> </v>
      </c>
      <c r="BT14" s="162" t="str">
        <f t="shared" si="53"/>
        <v xml:space="preserve"> </v>
      </c>
      <c r="BU14" s="162" t="str">
        <f t="shared" si="54"/>
        <v xml:space="preserve"> </v>
      </c>
      <c r="BV14" s="162" t="str">
        <f t="shared" si="55"/>
        <v xml:space="preserve"> </v>
      </c>
      <c r="BW14" s="162" t="str">
        <f t="shared" si="56"/>
        <v xml:space="preserve"> </v>
      </c>
      <c r="BX14" s="162" t="str">
        <f t="shared" si="57"/>
        <v xml:space="preserve"> </v>
      </c>
      <c r="BY14" s="162" t="str">
        <f t="shared" si="58"/>
        <v xml:space="preserve"> </v>
      </c>
      <c r="BZ14" s="172">
        <f t="shared" si="59"/>
        <v>2</v>
      </c>
      <c r="CA14" s="189"/>
    </row>
    <row r="15" spans="1:79" ht="15.75" x14ac:dyDescent="0.25">
      <c r="A15" s="199">
        <f t="shared" si="60"/>
        <v>2892</v>
      </c>
      <c r="B15" s="199" t="str">
        <f t="shared" si="61"/>
        <v>CTARGAS</v>
      </c>
      <c r="C15" s="56" t="str">
        <f t="shared" si="62"/>
        <v xml:space="preserve"> </v>
      </c>
      <c r="D15" s="53" t="str">
        <f t="shared" si="63"/>
        <v xml:space="preserve"> </v>
      </c>
      <c r="E15" s="39" t="str">
        <f t="shared" si="64"/>
        <v xml:space="preserve"> </v>
      </c>
      <c r="F15" s="39">
        <f t="shared" si="65"/>
        <v>4</v>
      </c>
      <c r="G15" s="210" t="str">
        <f t="shared" si="66"/>
        <v xml:space="preserve"> </v>
      </c>
      <c r="I15" s="160">
        <v>2892</v>
      </c>
      <c r="J15" s="195" t="s">
        <v>8</v>
      </c>
      <c r="K15" s="162" t="str">
        <f t="shared" si="0"/>
        <v xml:space="preserve"> </v>
      </c>
      <c r="L15" s="162" t="str">
        <f t="shared" si="1"/>
        <v xml:space="preserve"> </v>
      </c>
      <c r="M15" s="162" t="str">
        <f t="shared" si="2"/>
        <v xml:space="preserve"> </v>
      </c>
      <c r="N15" s="162" t="str">
        <f t="shared" si="3"/>
        <v xml:space="preserve"> </v>
      </c>
      <c r="O15" s="162" t="str">
        <f t="shared" si="4"/>
        <v xml:space="preserve"> </v>
      </c>
      <c r="P15" s="162" t="str">
        <f t="shared" si="5"/>
        <v xml:space="preserve"> </v>
      </c>
      <c r="Q15" s="162" t="str">
        <f t="shared" si="6"/>
        <v xml:space="preserve"> </v>
      </c>
      <c r="R15" s="162" t="str">
        <f t="shared" si="7"/>
        <v xml:space="preserve"> </v>
      </c>
      <c r="S15" s="162" t="str">
        <f t="shared" si="8"/>
        <v xml:space="preserve"> </v>
      </c>
      <c r="T15" s="162" t="str">
        <f t="shared" si="9"/>
        <v xml:space="preserve"> </v>
      </c>
      <c r="U15" s="162" t="str">
        <f t="shared" si="10"/>
        <v xml:space="preserve"> </v>
      </c>
      <c r="V15" s="172" t="str">
        <f t="shared" si="11"/>
        <v xml:space="preserve"> </v>
      </c>
      <c r="W15" s="185"/>
      <c r="X15" s="178" t="str">
        <f t="shared" si="12"/>
        <v xml:space="preserve"> </v>
      </c>
      <c r="Y15" s="162" t="str">
        <f t="shared" si="13"/>
        <v xml:space="preserve"> </v>
      </c>
      <c r="Z15" s="162" t="str">
        <f t="shared" si="14"/>
        <v xml:space="preserve"> </v>
      </c>
      <c r="AA15" s="162" t="str">
        <f t="shared" si="15"/>
        <v xml:space="preserve"> </v>
      </c>
      <c r="AB15" s="162" t="str">
        <f t="shared" si="16"/>
        <v xml:space="preserve"> </v>
      </c>
      <c r="AC15" s="162" t="str">
        <f t="shared" si="17"/>
        <v xml:space="preserve"> </v>
      </c>
      <c r="AD15" s="162" t="str">
        <f t="shared" si="18"/>
        <v xml:space="preserve"> </v>
      </c>
      <c r="AE15" s="162" t="str">
        <f t="shared" si="19"/>
        <v xml:space="preserve"> </v>
      </c>
      <c r="AF15" s="162" t="str">
        <f t="shared" si="20"/>
        <v xml:space="preserve"> </v>
      </c>
      <c r="AG15" s="162" t="str">
        <f t="shared" si="21"/>
        <v xml:space="preserve"> </v>
      </c>
      <c r="AH15" s="162" t="str">
        <f t="shared" si="22"/>
        <v xml:space="preserve"> </v>
      </c>
      <c r="AI15" s="172" t="str">
        <f t="shared" si="23"/>
        <v xml:space="preserve"> </v>
      </c>
      <c r="AJ15" s="185"/>
      <c r="AK15" s="160">
        <v>2892</v>
      </c>
      <c r="AL15" s="195" t="s">
        <v>8</v>
      </c>
      <c r="AM15" s="178" t="str">
        <f t="shared" si="24"/>
        <v xml:space="preserve"> </v>
      </c>
      <c r="AN15" s="162" t="str">
        <f t="shared" si="25"/>
        <v xml:space="preserve"> </v>
      </c>
      <c r="AO15" s="162" t="str">
        <f t="shared" si="26"/>
        <v xml:space="preserve"> </v>
      </c>
      <c r="AP15" s="162" t="str">
        <f t="shared" si="27"/>
        <v xml:space="preserve"> </v>
      </c>
      <c r="AQ15" s="162" t="str">
        <f t="shared" si="28"/>
        <v xml:space="preserve"> </v>
      </c>
      <c r="AR15" s="162" t="str">
        <f t="shared" si="29"/>
        <v xml:space="preserve"> </v>
      </c>
      <c r="AS15" s="162" t="str">
        <f t="shared" si="30"/>
        <v xml:space="preserve"> </v>
      </c>
      <c r="AT15" s="162" t="str">
        <f t="shared" si="31"/>
        <v xml:space="preserve"> </v>
      </c>
      <c r="AU15" s="162" t="str">
        <f t="shared" si="32"/>
        <v xml:space="preserve"> </v>
      </c>
      <c r="AV15" s="162" t="str">
        <f t="shared" si="33"/>
        <v xml:space="preserve"> </v>
      </c>
      <c r="AW15" s="162" t="str">
        <f t="shared" si="34"/>
        <v xml:space="preserve"> </v>
      </c>
      <c r="AX15" s="172" t="str">
        <f t="shared" si="35"/>
        <v xml:space="preserve"> </v>
      </c>
      <c r="AY15" s="185"/>
      <c r="AZ15" s="178" t="str">
        <f t="shared" si="36"/>
        <v xml:space="preserve"> </v>
      </c>
      <c r="BA15" s="162" t="str">
        <f t="shared" si="37"/>
        <v xml:space="preserve"> </v>
      </c>
      <c r="BB15" s="162" t="str">
        <f t="shared" si="38"/>
        <v xml:space="preserve"> </v>
      </c>
      <c r="BC15" s="162" t="str">
        <f t="shared" si="39"/>
        <v xml:space="preserve"> </v>
      </c>
      <c r="BD15" s="162" t="str">
        <f t="shared" si="40"/>
        <v xml:space="preserve"> </v>
      </c>
      <c r="BE15" s="162" t="str">
        <f t="shared" si="41"/>
        <v xml:space="preserve"> </v>
      </c>
      <c r="BF15" s="162" t="str">
        <f t="shared" si="42"/>
        <v xml:space="preserve"> </v>
      </c>
      <c r="BG15" s="162" t="str">
        <f t="shared" si="43"/>
        <v xml:space="preserve"> </v>
      </c>
      <c r="BH15" s="162" t="str">
        <f t="shared" si="44"/>
        <v xml:space="preserve"> </v>
      </c>
      <c r="BI15" s="162" t="str">
        <f t="shared" si="45"/>
        <v xml:space="preserve"> </v>
      </c>
      <c r="BJ15" s="162" t="str">
        <f t="shared" si="46"/>
        <v xml:space="preserve"> </v>
      </c>
      <c r="BK15" s="172" t="str">
        <f t="shared" si="47"/>
        <v xml:space="preserve"> </v>
      </c>
      <c r="BL15" s="185"/>
      <c r="BM15" s="160">
        <v>2892</v>
      </c>
      <c r="BN15" s="195" t="s">
        <v>8</v>
      </c>
      <c r="BO15" s="178" t="str">
        <f t="shared" si="48"/>
        <v>X</v>
      </c>
      <c r="BP15" s="162" t="str">
        <f t="shared" si="49"/>
        <v xml:space="preserve"> </v>
      </c>
      <c r="BQ15" s="162" t="str">
        <f t="shared" si="50"/>
        <v>X</v>
      </c>
      <c r="BR15" s="162" t="str">
        <f t="shared" si="51"/>
        <v>X</v>
      </c>
      <c r="BS15" s="162" t="str">
        <f t="shared" si="52"/>
        <v>X</v>
      </c>
      <c r="BT15" s="162" t="str">
        <f t="shared" si="53"/>
        <v xml:space="preserve"> </v>
      </c>
      <c r="BU15" s="162" t="str">
        <f t="shared" si="54"/>
        <v xml:space="preserve"> </v>
      </c>
      <c r="BV15" s="162" t="str">
        <f t="shared" si="55"/>
        <v xml:space="preserve"> </v>
      </c>
      <c r="BW15" s="162" t="str">
        <f t="shared" si="56"/>
        <v xml:space="preserve"> </v>
      </c>
      <c r="BX15" s="162" t="str">
        <f t="shared" si="57"/>
        <v xml:space="preserve"> </v>
      </c>
      <c r="BY15" s="162" t="str">
        <f t="shared" si="58"/>
        <v xml:space="preserve"> </v>
      </c>
      <c r="BZ15" s="172">
        <f t="shared" si="59"/>
        <v>4</v>
      </c>
      <c r="CA15" s="189"/>
    </row>
    <row r="16" spans="1:79" ht="15.75" x14ac:dyDescent="0.25">
      <c r="A16" s="199">
        <f t="shared" si="60"/>
        <v>2939</v>
      </c>
      <c r="B16" s="199" t="str">
        <f t="shared" si="61"/>
        <v>CTARGAS</v>
      </c>
      <c r="C16" s="56" t="str">
        <f t="shared" si="62"/>
        <v xml:space="preserve"> </v>
      </c>
      <c r="D16" s="53" t="str">
        <f t="shared" si="63"/>
        <v xml:space="preserve"> </v>
      </c>
      <c r="E16" s="39" t="str">
        <f t="shared" si="64"/>
        <v xml:space="preserve"> </v>
      </c>
      <c r="F16" s="39">
        <f t="shared" si="65"/>
        <v>3</v>
      </c>
      <c r="G16" s="210" t="str">
        <f t="shared" si="66"/>
        <v xml:space="preserve"> </v>
      </c>
      <c r="I16" s="160">
        <v>2939</v>
      </c>
      <c r="J16" s="195" t="s">
        <v>8</v>
      </c>
      <c r="K16" s="162" t="str">
        <f t="shared" si="0"/>
        <v xml:space="preserve"> </v>
      </c>
      <c r="L16" s="162" t="str">
        <f t="shared" si="1"/>
        <v xml:space="preserve"> </v>
      </c>
      <c r="M16" s="162" t="str">
        <f t="shared" si="2"/>
        <v xml:space="preserve"> </v>
      </c>
      <c r="N16" s="162" t="str">
        <f t="shared" si="3"/>
        <v xml:space="preserve"> </v>
      </c>
      <c r="O16" s="162" t="str">
        <f t="shared" si="4"/>
        <v xml:space="preserve"> </v>
      </c>
      <c r="P16" s="162" t="str">
        <f t="shared" si="5"/>
        <v xml:space="preserve"> </v>
      </c>
      <c r="Q16" s="162" t="str">
        <f t="shared" si="6"/>
        <v xml:space="preserve"> </v>
      </c>
      <c r="R16" s="162" t="str">
        <f t="shared" si="7"/>
        <v xml:space="preserve"> </v>
      </c>
      <c r="S16" s="162" t="str">
        <f t="shared" si="8"/>
        <v xml:space="preserve"> </v>
      </c>
      <c r="T16" s="162" t="str">
        <f t="shared" si="9"/>
        <v xml:space="preserve"> </v>
      </c>
      <c r="U16" s="162" t="str">
        <f t="shared" si="10"/>
        <v xml:space="preserve"> </v>
      </c>
      <c r="V16" s="172" t="str">
        <f t="shared" si="11"/>
        <v xml:space="preserve"> </v>
      </c>
      <c r="W16" s="185"/>
      <c r="X16" s="178" t="str">
        <f t="shared" si="12"/>
        <v xml:space="preserve"> </v>
      </c>
      <c r="Y16" s="162" t="str">
        <f t="shared" si="13"/>
        <v xml:space="preserve"> </v>
      </c>
      <c r="Z16" s="162" t="str">
        <f t="shared" si="14"/>
        <v xml:space="preserve"> </v>
      </c>
      <c r="AA16" s="162" t="str">
        <f t="shared" si="15"/>
        <v xml:space="preserve"> </v>
      </c>
      <c r="AB16" s="162" t="str">
        <f t="shared" si="16"/>
        <v xml:space="preserve"> </v>
      </c>
      <c r="AC16" s="162" t="str">
        <f t="shared" si="17"/>
        <v xml:space="preserve"> </v>
      </c>
      <c r="AD16" s="162" t="str">
        <f t="shared" si="18"/>
        <v xml:space="preserve"> </v>
      </c>
      <c r="AE16" s="162" t="str">
        <f t="shared" si="19"/>
        <v xml:space="preserve"> </v>
      </c>
      <c r="AF16" s="162" t="str">
        <f t="shared" si="20"/>
        <v xml:space="preserve"> </v>
      </c>
      <c r="AG16" s="162" t="str">
        <f t="shared" si="21"/>
        <v xml:space="preserve"> </v>
      </c>
      <c r="AH16" s="162" t="str">
        <f t="shared" si="22"/>
        <v xml:space="preserve"> </v>
      </c>
      <c r="AI16" s="172" t="str">
        <f t="shared" si="23"/>
        <v xml:space="preserve"> </v>
      </c>
      <c r="AJ16" s="185"/>
      <c r="AK16" s="160">
        <v>2939</v>
      </c>
      <c r="AL16" s="195" t="s">
        <v>8</v>
      </c>
      <c r="AM16" s="178" t="str">
        <f t="shared" si="24"/>
        <v xml:space="preserve"> </v>
      </c>
      <c r="AN16" s="162" t="str">
        <f t="shared" si="25"/>
        <v xml:space="preserve"> </v>
      </c>
      <c r="AO16" s="162" t="str">
        <f t="shared" si="26"/>
        <v xml:space="preserve"> </v>
      </c>
      <c r="AP16" s="162" t="str">
        <f t="shared" si="27"/>
        <v xml:space="preserve"> </v>
      </c>
      <c r="AQ16" s="162" t="str">
        <f t="shared" si="28"/>
        <v xml:space="preserve"> </v>
      </c>
      <c r="AR16" s="162" t="str">
        <f t="shared" si="29"/>
        <v xml:space="preserve"> </v>
      </c>
      <c r="AS16" s="162" t="str">
        <f t="shared" si="30"/>
        <v xml:space="preserve"> </v>
      </c>
      <c r="AT16" s="162" t="str">
        <f t="shared" si="31"/>
        <v xml:space="preserve"> </v>
      </c>
      <c r="AU16" s="162" t="str">
        <f t="shared" si="32"/>
        <v xml:space="preserve"> </v>
      </c>
      <c r="AV16" s="162" t="str">
        <f t="shared" si="33"/>
        <v xml:space="preserve"> </v>
      </c>
      <c r="AW16" s="162" t="str">
        <f t="shared" si="34"/>
        <v xml:space="preserve"> </v>
      </c>
      <c r="AX16" s="172" t="str">
        <f t="shared" si="35"/>
        <v xml:space="preserve"> </v>
      </c>
      <c r="AY16" s="185"/>
      <c r="AZ16" s="178" t="str">
        <f t="shared" si="36"/>
        <v xml:space="preserve"> </v>
      </c>
      <c r="BA16" s="162" t="str">
        <f t="shared" si="37"/>
        <v xml:space="preserve"> </v>
      </c>
      <c r="BB16" s="162" t="str">
        <f t="shared" si="38"/>
        <v xml:space="preserve"> </v>
      </c>
      <c r="BC16" s="162" t="str">
        <f t="shared" si="39"/>
        <v xml:space="preserve"> </v>
      </c>
      <c r="BD16" s="162" t="str">
        <f t="shared" si="40"/>
        <v xml:space="preserve"> </v>
      </c>
      <c r="BE16" s="162" t="str">
        <f t="shared" si="41"/>
        <v xml:space="preserve"> </v>
      </c>
      <c r="BF16" s="162" t="str">
        <f t="shared" si="42"/>
        <v xml:space="preserve"> </v>
      </c>
      <c r="BG16" s="162" t="str">
        <f t="shared" si="43"/>
        <v xml:space="preserve"> </v>
      </c>
      <c r="BH16" s="162" t="str">
        <f t="shared" si="44"/>
        <v xml:space="preserve"> </v>
      </c>
      <c r="BI16" s="162" t="str">
        <f t="shared" si="45"/>
        <v xml:space="preserve"> </v>
      </c>
      <c r="BJ16" s="162" t="str">
        <f t="shared" si="46"/>
        <v xml:space="preserve"> </v>
      </c>
      <c r="BK16" s="172" t="str">
        <f t="shared" si="47"/>
        <v xml:space="preserve"> </v>
      </c>
      <c r="BL16" s="185"/>
      <c r="BM16" s="160">
        <v>2939</v>
      </c>
      <c r="BN16" s="195" t="s">
        <v>8</v>
      </c>
      <c r="BO16" s="178" t="str">
        <f t="shared" si="48"/>
        <v xml:space="preserve"> </v>
      </c>
      <c r="BP16" s="162" t="str">
        <f t="shared" si="49"/>
        <v xml:space="preserve"> </v>
      </c>
      <c r="BQ16" s="162" t="str">
        <f t="shared" si="50"/>
        <v xml:space="preserve"> </v>
      </c>
      <c r="BR16" s="162" t="str">
        <f t="shared" si="51"/>
        <v xml:space="preserve"> </v>
      </c>
      <c r="BS16" s="162" t="str">
        <f t="shared" si="52"/>
        <v xml:space="preserve"> </v>
      </c>
      <c r="BT16" s="162" t="str">
        <f t="shared" si="53"/>
        <v xml:space="preserve"> </v>
      </c>
      <c r="BU16" s="162" t="str">
        <f t="shared" si="54"/>
        <v xml:space="preserve"> </v>
      </c>
      <c r="BV16" s="162" t="str">
        <f t="shared" si="55"/>
        <v xml:space="preserve"> </v>
      </c>
      <c r="BW16" s="162" t="str">
        <f t="shared" si="56"/>
        <v>X</v>
      </c>
      <c r="BX16" s="162" t="str">
        <f t="shared" si="57"/>
        <v>X</v>
      </c>
      <c r="BY16" s="162" t="str">
        <f t="shared" si="58"/>
        <v>X</v>
      </c>
      <c r="BZ16" s="172">
        <f t="shared" si="59"/>
        <v>3</v>
      </c>
      <c r="CA16" s="189"/>
    </row>
    <row r="17" spans="1:79" ht="15.75" x14ac:dyDescent="0.25">
      <c r="A17" s="199">
        <f t="shared" si="60"/>
        <v>3152</v>
      </c>
      <c r="B17" s="199" t="str">
        <f t="shared" si="61"/>
        <v>CTARGAS</v>
      </c>
      <c r="C17" s="56" t="str">
        <f t="shared" si="62"/>
        <v xml:space="preserve"> </v>
      </c>
      <c r="D17" s="53" t="str">
        <f t="shared" si="63"/>
        <v xml:space="preserve"> </v>
      </c>
      <c r="E17" s="39" t="str">
        <f t="shared" si="64"/>
        <v xml:space="preserve"> </v>
      </c>
      <c r="F17" s="39">
        <f t="shared" si="65"/>
        <v>3</v>
      </c>
      <c r="G17" s="210">
        <f t="shared" si="66"/>
        <v>1</v>
      </c>
      <c r="I17" s="160">
        <v>3152</v>
      </c>
      <c r="J17" s="195" t="s">
        <v>8</v>
      </c>
      <c r="K17" s="162" t="str">
        <f t="shared" si="0"/>
        <v xml:space="preserve"> </v>
      </c>
      <c r="L17" s="162" t="str">
        <f t="shared" si="1"/>
        <v xml:space="preserve"> </v>
      </c>
      <c r="M17" s="162" t="str">
        <f t="shared" si="2"/>
        <v xml:space="preserve"> </v>
      </c>
      <c r="N17" s="162" t="str">
        <f t="shared" si="3"/>
        <v xml:space="preserve"> </v>
      </c>
      <c r="O17" s="162" t="str">
        <f t="shared" si="4"/>
        <v xml:space="preserve"> </v>
      </c>
      <c r="P17" s="162" t="str">
        <f t="shared" si="5"/>
        <v xml:space="preserve"> </v>
      </c>
      <c r="Q17" s="162" t="str">
        <f t="shared" si="6"/>
        <v xml:space="preserve"> </v>
      </c>
      <c r="R17" s="162" t="str">
        <f t="shared" si="7"/>
        <v xml:space="preserve"> </v>
      </c>
      <c r="S17" s="162" t="str">
        <f t="shared" si="8"/>
        <v xml:space="preserve"> </v>
      </c>
      <c r="T17" s="162" t="str">
        <f t="shared" si="9"/>
        <v xml:space="preserve"> </v>
      </c>
      <c r="U17" s="162" t="str">
        <f t="shared" si="10"/>
        <v xml:space="preserve"> </v>
      </c>
      <c r="V17" s="172" t="str">
        <f t="shared" si="11"/>
        <v xml:space="preserve"> </v>
      </c>
      <c r="W17" s="185"/>
      <c r="X17" s="178" t="str">
        <f t="shared" si="12"/>
        <v xml:space="preserve"> </v>
      </c>
      <c r="Y17" s="162" t="str">
        <f t="shared" si="13"/>
        <v xml:space="preserve"> </v>
      </c>
      <c r="Z17" s="162" t="str">
        <f t="shared" si="14"/>
        <v xml:space="preserve"> </v>
      </c>
      <c r="AA17" s="162" t="str">
        <f t="shared" si="15"/>
        <v xml:space="preserve"> </v>
      </c>
      <c r="AB17" s="162" t="str">
        <f t="shared" si="16"/>
        <v xml:space="preserve"> </v>
      </c>
      <c r="AC17" s="162" t="str">
        <f t="shared" si="17"/>
        <v xml:space="preserve"> </v>
      </c>
      <c r="AD17" s="162" t="str">
        <f t="shared" si="18"/>
        <v xml:space="preserve"> </v>
      </c>
      <c r="AE17" s="162" t="str">
        <f t="shared" si="19"/>
        <v xml:space="preserve"> </v>
      </c>
      <c r="AF17" s="162" t="str">
        <f t="shared" si="20"/>
        <v xml:space="preserve"> </v>
      </c>
      <c r="AG17" s="162" t="str">
        <f t="shared" si="21"/>
        <v xml:space="preserve"> </v>
      </c>
      <c r="AH17" s="162" t="str">
        <f t="shared" si="22"/>
        <v xml:space="preserve"> </v>
      </c>
      <c r="AI17" s="172" t="str">
        <f t="shared" si="23"/>
        <v xml:space="preserve"> </v>
      </c>
      <c r="AJ17" s="185"/>
      <c r="AK17" s="160">
        <v>3152</v>
      </c>
      <c r="AL17" s="195" t="s">
        <v>8</v>
      </c>
      <c r="AM17" s="178" t="str">
        <f t="shared" si="24"/>
        <v xml:space="preserve"> </v>
      </c>
      <c r="AN17" s="162" t="str">
        <f t="shared" si="25"/>
        <v xml:space="preserve"> </v>
      </c>
      <c r="AO17" s="162" t="str">
        <f t="shared" si="26"/>
        <v xml:space="preserve"> </v>
      </c>
      <c r="AP17" s="162" t="str">
        <f t="shared" si="27"/>
        <v xml:space="preserve"> </v>
      </c>
      <c r="AQ17" s="162" t="str">
        <f t="shared" si="28"/>
        <v>X</v>
      </c>
      <c r="AR17" s="162" t="str">
        <f t="shared" si="29"/>
        <v xml:space="preserve"> </v>
      </c>
      <c r="AS17" s="162" t="str">
        <f t="shared" si="30"/>
        <v xml:space="preserve"> </v>
      </c>
      <c r="AT17" s="162" t="str">
        <f t="shared" si="31"/>
        <v xml:space="preserve"> </v>
      </c>
      <c r="AU17" s="162" t="str">
        <f t="shared" si="32"/>
        <v xml:space="preserve"> </v>
      </c>
      <c r="AV17" s="162" t="str">
        <f t="shared" si="33"/>
        <v xml:space="preserve"> </v>
      </c>
      <c r="AW17" s="162" t="str">
        <f t="shared" si="34"/>
        <v xml:space="preserve"> </v>
      </c>
      <c r="AX17" s="172">
        <f t="shared" si="35"/>
        <v>1</v>
      </c>
      <c r="AY17" s="185"/>
      <c r="AZ17" s="178" t="str">
        <f t="shared" si="36"/>
        <v xml:space="preserve"> </v>
      </c>
      <c r="BA17" s="162" t="str">
        <f t="shared" si="37"/>
        <v xml:space="preserve"> </v>
      </c>
      <c r="BB17" s="162" t="str">
        <f t="shared" si="38"/>
        <v xml:space="preserve"> </v>
      </c>
      <c r="BC17" s="162" t="str">
        <f t="shared" si="39"/>
        <v xml:space="preserve"> </v>
      </c>
      <c r="BD17" s="162" t="str">
        <f t="shared" si="40"/>
        <v xml:space="preserve"> </v>
      </c>
      <c r="BE17" s="162" t="str">
        <f t="shared" si="41"/>
        <v xml:space="preserve"> </v>
      </c>
      <c r="BF17" s="162" t="str">
        <f t="shared" si="42"/>
        <v xml:space="preserve"> </v>
      </c>
      <c r="BG17" s="162" t="str">
        <f t="shared" si="43"/>
        <v xml:space="preserve"> </v>
      </c>
      <c r="BH17" s="162" t="str">
        <f t="shared" si="44"/>
        <v xml:space="preserve"> </v>
      </c>
      <c r="BI17" s="162" t="str">
        <f t="shared" si="45"/>
        <v xml:space="preserve"> </v>
      </c>
      <c r="BJ17" s="162" t="str">
        <f t="shared" si="46"/>
        <v xml:space="preserve"> </v>
      </c>
      <c r="BK17" s="172" t="str">
        <f t="shared" si="47"/>
        <v xml:space="preserve"> </v>
      </c>
      <c r="BL17" s="185"/>
      <c r="BM17" s="160">
        <v>3152</v>
      </c>
      <c r="BN17" s="195" t="s">
        <v>8</v>
      </c>
      <c r="BO17" s="178" t="str">
        <f t="shared" si="48"/>
        <v>X</v>
      </c>
      <c r="BP17" s="162" t="str">
        <f t="shared" si="49"/>
        <v xml:space="preserve"> </v>
      </c>
      <c r="BQ17" s="162" t="str">
        <f t="shared" si="50"/>
        <v xml:space="preserve"> </v>
      </c>
      <c r="BR17" s="162" t="str">
        <f t="shared" si="51"/>
        <v xml:space="preserve"> </v>
      </c>
      <c r="BS17" s="162" t="str">
        <f t="shared" si="52"/>
        <v xml:space="preserve"> </v>
      </c>
      <c r="BT17" s="162" t="str">
        <f t="shared" si="53"/>
        <v>X</v>
      </c>
      <c r="BU17" s="162" t="str">
        <f t="shared" si="54"/>
        <v xml:space="preserve"> </v>
      </c>
      <c r="BV17" s="162" t="str">
        <f t="shared" si="55"/>
        <v xml:space="preserve"> </v>
      </c>
      <c r="BW17" s="162" t="str">
        <f t="shared" si="56"/>
        <v xml:space="preserve"> </v>
      </c>
      <c r="BX17" s="162" t="str">
        <f t="shared" si="57"/>
        <v xml:space="preserve"> </v>
      </c>
      <c r="BY17" s="162" t="str">
        <f t="shared" si="58"/>
        <v>X</v>
      </c>
      <c r="BZ17" s="172">
        <f t="shared" si="59"/>
        <v>3</v>
      </c>
      <c r="CA17" s="189"/>
    </row>
    <row r="18" spans="1:79" ht="15.75" x14ac:dyDescent="0.25">
      <c r="A18" s="199">
        <f t="shared" si="60"/>
        <v>4303</v>
      </c>
      <c r="B18" s="199" t="str">
        <f t="shared" si="61"/>
        <v>CTARGAS</v>
      </c>
      <c r="C18" s="56" t="str">
        <f t="shared" si="62"/>
        <v xml:space="preserve"> </v>
      </c>
      <c r="D18" s="53" t="str">
        <f t="shared" si="63"/>
        <v xml:space="preserve"> </v>
      </c>
      <c r="E18" s="39" t="str">
        <f t="shared" si="64"/>
        <v xml:space="preserve"> </v>
      </c>
      <c r="F18" s="39">
        <f t="shared" si="65"/>
        <v>3</v>
      </c>
      <c r="G18" s="210" t="str">
        <f t="shared" si="66"/>
        <v xml:space="preserve"> </v>
      </c>
      <c r="I18" s="160">
        <v>4303</v>
      </c>
      <c r="J18" s="195" t="s">
        <v>8</v>
      </c>
      <c r="K18" s="162" t="str">
        <f t="shared" si="0"/>
        <v xml:space="preserve"> </v>
      </c>
      <c r="L18" s="162" t="str">
        <f t="shared" si="1"/>
        <v xml:space="preserve"> </v>
      </c>
      <c r="M18" s="162" t="str">
        <f t="shared" si="2"/>
        <v xml:space="preserve"> </v>
      </c>
      <c r="N18" s="162" t="str">
        <f t="shared" si="3"/>
        <v xml:space="preserve"> </v>
      </c>
      <c r="O18" s="162" t="str">
        <f t="shared" si="4"/>
        <v xml:space="preserve"> </v>
      </c>
      <c r="P18" s="162" t="str">
        <f t="shared" si="5"/>
        <v xml:space="preserve"> </v>
      </c>
      <c r="Q18" s="162" t="str">
        <f t="shared" si="6"/>
        <v xml:space="preserve"> </v>
      </c>
      <c r="R18" s="162" t="str">
        <f t="shared" si="7"/>
        <v xml:space="preserve"> </v>
      </c>
      <c r="S18" s="162" t="str">
        <f t="shared" si="8"/>
        <v xml:space="preserve"> </v>
      </c>
      <c r="T18" s="162" t="str">
        <f t="shared" si="9"/>
        <v xml:space="preserve"> </v>
      </c>
      <c r="U18" s="162" t="str">
        <f t="shared" si="10"/>
        <v xml:space="preserve"> </v>
      </c>
      <c r="V18" s="172" t="str">
        <f t="shared" si="11"/>
        <v xml:space="preserve"> </v>
      </c>
      <c r="W18" s="185"/>
      <c r="X18" s="178" t="str">
        <f t="shared" si="12"/>
        <v xml:space="preserve"> </v>
      </c>
      <c r="Y18" s="162" t="str">
        <f t="shared" si="13"/>
        <v xml:space="preserve"> </v>
      </c>
      <c r="Z18" s="162" t="str">
        <f t="shared" si="14"/>
        <v xml:space="preserve"> </v>
      </c>
      <c r="AA18" s="162" t="str">
        <f t="shared" si="15"/>
        <v xml:space="preserve"> </v>
      </c>
      <c r="AB18" s="162" t="str">
        <f t="shared" si="16"/>
        <v xml:space="preserve"> </v>
      </c>
      <c r="AC18" s="162" t="str">
        <f t="shared" si="17"/>
        <v xml:space="preserve"> </v>
      </c>
      <c r="AD18" s="162" t="str">
        <f t="shared" si="18"/>
        <v xml:space="preserve"> </v>
      </c>
      <c r="AE18" s="162" t="str">
        <f t="shared" si="19"/>
        <v xml:space="preserve"> </v>
      </c>
      <c r="AF18" s="162" t="str">
        <f t="shared" si="20"/>
        <v xml:space="preserve"> </v>
      </c>
      <c r="AG18" s="162" t="str">
        <f t="shared" si="21"/>
        <v xml:space="preserve"> </v>
      </c>
      <c r="AH18" s="162" t="str">
        <f t="shared" si="22"/>
        <v xml:space="preserve"> </v>
      </c>
      <c r="AI18" s="172" t="str">
        <f t="shared" si="23"/>
        <v xml:space="preserve"> </v>
      </c>
      <c r="AJ18" s="185"/>
      <c r="AK18" s="160">
        <v>4303</v>
      </c>
      <c r="AL18" s="195" t="s">
        <v>8</v>
      </c>
      <c r="AM18" s="178" t="str">
        <f t="shared" si="24"/>
        <v xml:space="preserve"> </v>
      </c>
      <c r="AN18" s="162" t="str">
        <f t="shared" si="25"/>
        <v xml:space="preserve"> </v>
      </c>
      <c r="AO18" s="162" t="str">
        <f t="shared" si="26"/>
        <v xml:space="preserve"> </v>
      </c>
      <c r="AP18" s="162" t="str">
        <f t="shared" si="27"/>
        <v xml:space="preserve"> </v>
      </c>
      <c r="AQ18" s="162" t="str">
        <f t="shared" si="28"/>
        <v xml:space="preserve"> </v>
      </c>
      <c r="AR18" s="162" t="str">
        <f t="shared" si="29"/>
        <v xml:space="preserve"> </v>
      </c>
      <c r="AS18" s="162" t="str">
        <f t="shared" si="30"/>
        <v xml:space="preserve"> </v>
      </c>
      <c r="AT18" s="162" t="str">
        <f t="shared" si="31"/>
        <v xml:space="preserve"> </v>
      </c>
      <c r="AU18" s="162" t="str">
        <f t="shared" si="32"/>
        <v xml:space="preserve"> </v>
      </c>
      <c r="AV18" s="162" t="str">
        <f t="shared" si="33"/>
        <v xml:space="preserve"> </v>
      </c>
      <c r="AW18" s="162" t="str">
        <f t="shared" si="34"/>
        <v xml:space="preserve"> </v>
      </c>
      <c r="AX18" s="172" t="str">
        <f t="shared" si="35"/>
        <v xml:space="preserve"> </v>
      </c>
      <c r="AY18" s="185"/>
      <c r="AZ18" s="178" t="str">
        <f t="shared" si="36"/>
        <v xml:space="preserve"> </v>
      </c>
      <c r="BA18" s="162" t="str">
        <f t="shared" si="37"/>
        <v xml:space="preserve"> </v>
      </c>
      <c r="BB18" s="162" t="str">
        <f t="shared" si="38"/>
        <v xml:space="preserve"> </v>
      </c>
      <c r="BC18" s="162" t="str">
        <f t="shared" si="39"/>
        <v xml:space="preserve"> </v>
      </c>
      <c r="BD18" s="162" t="str">
        <f t="shared" si="40"/>
        <v xml:space="preserve"> </v>
      </c>
      <c r="BE18" s="162" t="str">
        <f t="shared" si="41"/>
        <v xml:space="preserve"> </v>
      </c>
      <c r="BF18" s="162" t="str">
        <f t="shared" si="42"/>
        <v xml:space="preserve"> </v>
      </c>
      <c r="BG18" s="162" t="str">
        <f t="shared" si="43"/>
        <v xml:space="preserve"> </v>
      </c>
      <c r="BH18" s="162" t="str">
        <f t="shared" si="44"/>
        <v xml:space="preserve"> </v>
      </c>
      <c r="BI18" s="162" t="str">
        <f t="shared" si="45"/>
        <v xml:space="preserve"> </v>
      </c>
      <c r="BJ18" s="162" t="str">
        <f t="shared" si="46"/>
        <v xml:space="preserve"> </v>
      </c>
      <c r="BK18" s="172" t="str">
        <f t="shared" si="47"/>
        <v xml:space="preserve"> </v>
      </c>
      <c r="BL18" s="185"/>
      <c r="BM18" s="160">
        <v>4303</v>
      </c>
      <c r="BN18" s="195" t="s">
        <v>8</v>
      </c>
      <c r="BO18" s="178" t="str">
        <f t="shared" si="48"/>
        <v xml:space="preserve"> </v>
      </c>
      <c r="BP18" s="162" t="str">
        <f t="shared" si="49"/>
        <v xml:space="preserve"> </v>
      </c>
      <c r="BQ18" s="162" t="str">
        <f t="shared" si="50"/>
        <v xml:space="preserve"> </v>
      </c>
      <c r="BR18" s="162" t="str">
        <f t="shared" si="51"/>
        <v xml:space="preserve"> </v>
      </c>
      <c r="BS18" s="162" t="str">
        <f t="shared" si="52"/>
        <v xml:space="preserve"> </v>
      </c>
      <c r="BT18" s="162" t="str">
        <f t="shared" si="53"/>
        <v>X</v>
      </c>
      <c r="BU18" s="162" t="str">
        <f t="shared" si="54"/>
        <v>X</v>
      </c>
      <c r="BV18" s="162" t="str">
        <f t="shared" si="55"/>
        <v>X</v>
      </c>
      <c r="BW18" s="162" t="str">
        <f t="shared" si="56"/>
        <v xml:space="preserve"> </v>
      </c>
      <c r="BX18" s="162" t="str">
        <f t="shared" si="57"/>
        <v xml:space="preserve"> </v>
      </c>
      <c r="BY18" s="162" t="str">
        <f t="shared" si="58"/>
        <v xml:space="preserve"> </v>
      </c>
      <c r="BZ18" s="172">
        <f t="shared" si="59"/>
        <v>3</v>
      </c>
      <c r="CA18" s="189"/>
    </row>
    <row r="19" spans="1:79" ht="15.75" x14ac:dyDescent="0.25">
      <c r="A19" s="199">
        <f t="shared" si="60"/>
        <v>6500</v>
      </c>
      <c r="B19" s="199" t="str">
        <f t="shared" si="61"/>
        <v>CTARGAS</v>
      </c>
      <c r="C19" s="56">
        <f t="shared" si="62"/>
        <v>1</v>
      </c>
      <c r="D19" s="53" t="str">
        <f t="shared" si="63"/>
        <v xml:space="preserve"> </v>
      </c>
      <c r="E19" s="39">
        <f t="shared" si="64"/>
        <v>6</v>
      </c>
      <c r="F19" s="39" t="str">
        <f t="shared" si="65"/>
        <v xml:space="preserve"> </v>
      </c>
      <c r="G19" s="210">
        <f t="shared" si="66"/>
        <v>1</v>
      </c>
      <c r="I19" s="160">
        <v>6500</v>
      </c>
      <c r="J19" s="195" t="s">
        <v>8</v>
      </c>
      <c r="K19" s="162" t="str">
        <f t="shared" si="0"/>
        <v xml:space="preserve"> </v>
      </c>
      <c r="L19" s="162" t="str">
        <f t="shared" si="1"/>
        <v xml:space="preserve"> </v>
      </c>
      <c r="M19" s="162" t="str">
        <f t="shared" si="2"/>
        <v xml:space="preserve"> </v>
      </c>
      <c r="N19" s="162" t="str">
        <f t="shared" si="3"/>
        <v>X</v>
      </c>
      <c r="O19" s="162" t="str">
        <f t="shared" si="4"/>
        <v xml:space="preserve"> </v>
      </c>
      <c r="P19" s="162" t="str">
        <f t="shared" si="5"/>
        <v xml:space="preserve"> </v>
      </c>
      <c r="Q19" s="162" t="str">
        <f t="shared" si="6"/>
        <v xml:space="preserve"> </v>
      </c>
      <c r="R19" s="162" t="str">
        <f t="shared" si="7"/>
        <v xml:space="preserve"> </v>
      </c>
      <c r="S19" s="162" t="str">
        <f t="shared" si="8"/>
        <v xml:space="preserve"> </v>
      </c>
      <c r="T19" s="162" t="str">
        <f t="shared" si="9"/>
        <v xml:space="preserve"> </v>
      </c>
      <c r="U19" s="162" t="str">
        <f t="shared" si="10"/>
        <v xml:space="preserve"> </v>
      </c>
      <c r="V19" s="172">
        <f t="shared" si="11"/>
        <v>1</v>
      </c>
      <c r="W19" s="185"/>
      <c r="X19" s="178" t="str">
        <f t="shared" si="12"/>
        <v xml:space="preserve"> </v>
      </c>
      <c r="Y19" s="162" t="str">
        <f t="shared" si="13"/>
        <v xml:space="preserve"> </v>
      </c>
      <c r="Z19" s="162" t="str">
        <f t="shared" si="14"/>
        <v xml:space="preserve"> </v>
      </c>
      <c r="AA19" s="162" t="str">
        <f t="shared" si="15"/>
        <v xml:space="preserve"> </v>
      </c>
      <c r="AB19" s="162" t="str">
        <f t="shared" si="16"/>
        <v xml:space="preserve"> </v>
      </c>
      <c r="AC19" s="162" t="str">
        <f t="shared" si="17"/>
        <v xml:space="preserve"> </v>
      </c>
      <c r="AD19" s="162" t="str">
        <f t="shared" si="18"/>
        <v xml:space="preserve"> </v>
      </c>
      <c r="AE19" s="162" t="str">
        <f t="shared" si="19"/>
        <v xml:space="preserve"> </v>
      </c>
      <c r="AF19" s="162" t="str">
        <f t="shared" si="20"/>
        <v xml:space="preserve"> </v>
      </c>
      <c r="AG19" s="162" t="str">
        <f t="shared" si="21"/>
        <v xml:space="preserve"> </v>
      </c>
      <c r="AH19" s="162" t="str">
        <f t="shared" si="22"/>
        <v xml:space="preserve"> </v>
      </c>
      <c r="AI19" s="172" t="str">
        <f t="shared" si="23"/>
        <v xml:space="preserve"> </v>
      </c>
      <c r="AJ19" s="185"/>
      <c r="AK19" s="160">
        <v>6500</v>
      </c>
      <c r="AL19" s="195" t="s">
        <v>8</v>
      </c>
      <c r="AM19" s="178" t="str">
        <f t="shared" si="24"/>
        <v xml:space="preserve"> </v>
      </c>
      <c r="AN19" s="162" t="str">
        <f t="shared" si="25"/>
        <v xml:space="preserve"> </v>
      </c>
      <c r="AO19" s="162" t="str">
        <f t="shared" si="26"/>
        <v xml:space="preserve"> </v>
      </c>
      <c r="AP19" s="162" t="str">
        <f t="shared" si="27"/>
        <v xml:space="preserve"> </v>
      </c>
      <c r="AQ19" s="162" t="str">
        <f t="shared" si="28"/>
        <v xml:space="preserve"> </v>
      </c>
      <c r="AR19" s="162" t="str">
        <f t="shared" si="29"/>
        <v xml:space="preserve"> </v>
      </c>
      <c r="AS19" s="162" t="str">
        <f t="shared" si="30"/>
        <v xml:space="preserve"> </v>
      </c>
      <c r="AT19" s="162" t="str">
        <f t="shared" si="31"/>
        <v xml:space="preserve"> </v>
      </c>
      <c r="AU19" s="162" t="str">
        <f t="shared" si="32"/>
        <v>X</v>
      </c>
      <c r="AV19" s="162" t="str">
        <f t="shared" si="33"/>
        <v xml:space="preserve"> </v>
      </c>
      <c r="AW19" s="162" t="str">
        <f t="shared" si="34"/>
        <v xml:space="preserve"> </v>
      </c>
      <c r="AX19" s="172">
        <f t="shared" si="35"/>
        <v>1</v>
      </c>
      <c r="AY19" s="185"/>
      <c r="AZ19" s="178" t="str">
        <f t="shared" si="36"/>
        <v xml:space="preserve"> </v>
      </c>
      <c r="BA19" s="162" t="str">
        <f t="shared" si="37"/>
        <v xml:space="preserve"> </v>
      </c>
      <c r="BB19" s="162" t="str">
        <f t="shared" si="38"/>
        <v xml:space="preserve"> </v>
      </c>
      <c r="BC19" s="162" t="str">
        <f t="shared" si="39"/>
        <v>X</v>
      </c>
      <c r="BD19" s="162" t="str">
        <f t="shared" si="40"/>
        <v>X</v>
      </c>
      <c r="BE19" s="162" t="str">
        <f t="shared" si="41"/>
        <v>X</v>
      </c>
      <c r="BF19" s="162" t="str">
        <f t="shared" si="42"/>
        <v>X</v>
      </c>
      <c r="BG19" s="162" t="str">
        <f t="shared" si="43"/>
        <v>X</v>
      </c>
      <c r="BH19" s="162" t="str">
        <f t="shared" si="44"/>
        <v xml:space="preserve"> </v>
      </c>
      <c r="BI19" s="162" t="str">
        <f t="shared" si="45"/>
        <v>X</v>
      </c>
      <c r="BJ19" s="162" t="str">
        <f t="shared" si="46"/>
        <v xml:space="preserve"> </v>
      </c>
      <c r="BK19" s="172">
        <f t="shared" si="47"/>
        <v>6</v>
      </c>
      <c r="BL19" s="185"/>
      <c r="BM19" s="160">
        <v>6500</v>
      </c>
      <c r="BN19" s="195" t="s">
        <v>8</v>
      </c>
      <c r="BO19" s="178" t="str">
        <f t="shared" si="48"/>
        <v xml:space="preserve"> </v>
      </c>
      <c r="BP19" s="162" t="str">
        <f t="shared" si="49"/>
        <v xml:space="preserve"> </v>
      </c>
      <c r="BQ19" s="162" t="str">
        <f t="shared" si="50"/>
        <v xml:space="preserve"> </v>
      </c>
      <c r="BR19" s="162" t="str">
        <f t="shared" si="51"/>
        <v xml:space="preserve"> </v>
      </c>
      <c r="BS19" s="162" t="str">
        <f t="shared" si="52"/>
        <v xml:space="preserve"> </v>
      </c>
      <c r="BT19" s="162" t="str">
        <f t="shared" si="53"/>
        <v xml:space="preserve"> </v>
      </c>
      <c r="BU19" s="162" t="str">
        <f t="shared" si="54"/>
        <v xml:space="preserve"> </v>
      </c>
      <c r="BV19" s="162" t="str">
        <f t="shared" si="55"/>
        <v xml:space="preserve"> </v>
      </c>
      <c r="BW19" s="162" t="str">
        <f t="shared" si="56"/>
        <v xml:space="preserve"> </v>
      </c>
      <c r="BX19" s="162" t="str">
        <f t="shared" si="57"/>
        <v xml:space="preserve"> </v>
      </c>
      <c r="BY19" s="162" t="str">
        <f t="shared" si="58"/>
        <v xml:space="preserve"> </v>
      </c>
      <c r="BZ19" s="172" t="str">
        <f t="shared" si="59"/>
        <v xml:space="preserve"> </v>
      </c>
      <c r="CA19" s="189"/>
    </row>
    <row r="20" spans="1:79" ht="15.75" x14ac:dyDescent="0.25">
      <c r="A20" s="199">
        <f t="shared" si="60"/>
        <v>10656</v>
      </c>
      <c r="B20" s="199" t="str">
        <f t="shared" si="61"/>
        <v>CTARGAS</v>
      </c>
      <c r="C20" s="56" t="str">
        <f t="shared" si="62"/>
        <v xml:space="preserve"> </v>
      </c>
      <c r="D20" s="53" t="str">
        <f t="shared" si="63"/>
        <v xml:space="preserve"> </v>
      </c>
      <c r="E20" s="39" t="str">
        <f t="shared" si="64"/>
        <v xml:space="preserve"> </v>
      </c>
      <c r="F20" s="39">
        <f t="shared" si="65"/>
        <v>2</v>
      </c>
      <c r="G20" s="210" t="str">
        <f t="shared" si="66"/>
        <v xml:space="preserve"> </v>
      </c>
      <c r="I20" s="160">
        <v>10656</v>
      </c>
      <c r="J20" s="195" t="s">
        <v>8</v>
      </c>
      <c r="K20" s="162" t="str">
        <f t="shared" si="0"/>
        <v xml:space="preserve"> </v>
      </c>
      <c r="L20" s="162" t="str">
        <f t="shared" si="1"/>
        <v xml:space="preserve"> </v>
      </c>
      <c r="M20" s="162" t="str">
        <f t="shared" si="2"/>
        <v xml:space="preserve"> </v>
      </c>
      <c r="N20" s="162" t="str">
        <f t="shared" si="3"/>
        <v xml:space="preserve"> </v>
      </c>
      <c r="O20" s="162" t="str">
        <f t="shared" si="4"/>
        <v xml:space="preserve"> </v>
      </c>
      <c r="P20" s="162" t="str">
        <f t="shared" si="5"/>
        <v xml:space="preserve"> </v>
      </c>
      <c r="Q20" s="162" t="str">
        <f t="shared" si="6"/>
        <v xml:space="preserve"> </v>
      </c>
      <c r="R20" s="162" t="str">
        <f t="shared" si="7"/>
        <v xml:space="preserve"> </v>
      </c>
      <c r="S20" s="162" t="str">
        <f t="shared" si="8"/>
        <v xml:space="preserve"> </v>
      </c>
      <c r="T20" s="162" t="str">
        <f t="shared" si="9"/>
        <v xml:space="preserve"> </v>
      </c>
      <c r="U20" s="162" t="str">
        <f t="shared" si="10"/>
        <v xml:space="preserve"> </v>
      </c>
      <c r="V20" s="172" t="str">
        <f t="shared" si="11"/>
        <v xml:space="preserve"> </v>
      </c>
      <c r="W20" s="185"/>
      <c r="X20" s="178" t="str">
        <f t="shared" si="12"/>
        <v xml:space="preserve"> </v>
      </c>
      <c r="Y20" s="162" t="str">
        <f t="shared" si="13"/>
        <v xml:space="preserve"> </v>
      </c>
      <c r="Z20" s="162" t="str">
        <f t="shared" si="14"/>
        <v xml:space="preserve"> </v>
      </c>
      <c r="AA20" s="162" t="str">
        <f t="shared" si="15"/>
        <v xml:space="preserve"> </v>
      </c>
      <c r="AB20" s="162" t="str">
        <f t="shared" si="16"/>
        <v xml:space="preserve"> </v>
      </c>
      <c r="AC20" s="162" t="str">
        <f t="shared" si="17"/>
        <v xml:space="preserve"> </v>
      </c>
      <c r="AD20" s="162" t="str">
        <f t="shared" si="18"/>
        <v xml:space="preserve"> </v>
      </c>
      <c r="AE20" s="162" t="str">
        <f t="shared" si="19"/>
        <v xml:space="preserve"> </v>
      </c>
      <c r="AF20" s="162" t="str">
        <f t="shared" si="20"/>
        <v xml:space="preserve"> </v>
      </c>
      <c r="AG20" s="162" t="str">
        <f t="shared" si="21"/>
        <v xml:space="preserve"> </v>
      </c>
      <c r="AH20" s="162" t="str">
        <f t="shared" si="22"/>
        <v xml:space="preserve"> </v>
      </c>
      <c r="AI20" s="172" t="str">
        <f t="shared" si="23"/>
        <v xml:space="preserve"> </v>
      </c>
      <c r="AJ20" s="185"/>
      <c r="AK20" s="160">
        <v>10656</v>
      </c>
      <c r="AL20" s="195" t="s">
        <v>8</v>
      </c>
      <c r="AM20" s="178" t="str">
        <f t="shared" si="24"/>
        <v xml:space="preserve"> </v>
      </c>
      <c r="AN20" s="162" t="str">
        <f t="shared" si="25"/>
        <v xml:space="preserve"> </v>
      </c>
      <c r="AO20" s="162" t="str">
        <f t="shared" si="26"/>
        <v xml:space="preserve"> </v>
      </c>
      <c r="AP20" s="162" t="str">
        <f t="shared" si="27"/>
        <v xml:space="preserve"> </v>
      </c>
      <c r="AQ20" s="162" t="str">
        <f t="shared" si="28"/>
        <v xml:space="preserve"> </v>
      </c>
      <c r="AR20" s="162" t="str">
        <f t="shared" si="29"/>
        <v xml:space="preserve"> </v>
      </c>
      <c r="AS20" s="162" t="str">
        <f t="shared" si="30"/>
        <v xml:space="preserve"> </v>
      </c>
      <c r="AT20" s="162" t="str">
        <f t="shared" si="31"/>
        <v xml:space="preserve"> </v>
      </c>
      <c r="AU20" s="162" t="str">
        <f t="shared" si="32"/>
        <v xml:space="preserve"> </v>
      </c>
      <c r="AV20" s="162" t="str">
        <f t="shared" si="33"/>
        <v xml:space="preserve"> </v>
      </c>
      <c r="AW20" s="162" t="str">
        <f t="shared" si="34"/>
        <v xml:space="preserve"> </v>
      </c>
      <c r="AX20" s="172" t="str">
        <f t="shared" si="35"/>
        <v xml:space="preserve"> </v>
      </c>
      <c r="AY20" s="185"/>
      <c r="AZ20" s="178" t="str">
        <f t="shared" si="36"/>
        <v xml:space="preserve"> </v>
      </c>
      <c r="BA20" s="162" t="str">
        <f t="shared" si="37"/>
        <v xml:space="preserve"> </v>
      </c>
      <c r="BB20" s="162" t="str">
        <f t="shared" si="38"/>
        <v xml:space="preserve"> </v>
      </c>
      <c r="BC20" s="162" t="str">
        <f t="shared" si="39"/>
        <v xml:space="preserve"> </v>
      </c>
      <c r="BD20" s="162" t="str">
        <f t="shared" si="40"/>
        <v xml:space="preserve"> </v>
      </c>
      <c r="BE20" s="162" t="str">
        <f t="shared" si="41"/>
        <v xml:space="preserve"> </v>
      </c>
      <c r="BF20" s="162" t="str">
        <f t="shared" si="42"/>
        <v xml:space="preserve"> </v>
      </c>
      <c r="BG20" s="162" t="str">
        <f t="shared" si="43"/>
        <v xml:space="preserve"> </v>
      </c>
      <c r="BH20" s="162" t="str">
        <f t="shared" si="44"/>
        <v xml:space="preserve"> </v>
      </c>
      <c r="BI20" s="162" t="str">
        <f t="shared" si="45"/>
        <v xml:space="preserve"> </v>
      </c>
      <c r="BJ20" s="162" t="str">
        <f t="shared" si="46"/>
        <v xml:space="preserve"> </v>
      </c>
      <c r="BK20" s="172" t="str">
        <f t="shared" si="47"/>
        <v xml:space="preserve"> </v>
      </c>
      <c r="BL20" s="185"/>
      <c r="BM20" s="160">
        <v>10656</v>
      </c>
      <c r="BN20" s="195" t="s">
        <v>8</v>
      </c>
      <c r="BO20" s="178" t="str">
        <f t="shared" si="48"/>
        <v xml:space="preserve"> </v>
      </c>
      <c r="BP20" s="162" t="str">
        <f t="shared" si="49"/>
        <v xml:space="preserve"> </v>
      </c>
      <c r="BQ20" s="162" t="str">
        <f t="shared" si="50"/>
        <v xml:space="preserve"> </v>
      </c>
      <c r="BR20" s="162" t="str">
        <f t="shared" si="51"/>
        <v xml:space="preserve"> </v>
      </c>
      <c r="BS20" s="162" t="str">
        <f t="shared" si="52"/>
        <v xml:space="preserve"> </v>
      </c>
      <c r="BT20" s="162" t="str">
        <f t="shared" si="53"/>
        <v xml:space="preserve"> </v>
      </c>
      <c r="BU20" s="162" t="str">
        <f t="shared" si="54"/>
        <v xml:space="preserve"> </v>
      </c>
      <c r="BV20" s="162" t="str">
        <f t="shared" si="55"/>
        <v xml:space="preserve"> </v>
      </c>
      <c r="BW20" s="162" t="str">
        <f t="shared" si="56"/>
        <v xml:space="preserve"> </v>
      </c>
      <c r="BX20" s="162" t="str">
        <f t="shared" si="57"/>
        <v>X</v>
      </c>
      <c r="BY20" s="162" t="str">
        <f t="shared" si="58"/>
        <v>X</v>
      </c>
      <c r="BZ20" s="172">
        <f t="shared" si="59"/>
        <v>2</v>
      </c>
      <c r="CA20" s="189"/>
    </row>
    <row r="21" spans="1:79" ht="15.75" x14ac:dyDescent="0.25">
      <c r="A21" s="199">
        <f t="shared" si="60"/>
        <v>12296</v>
      </c>
      <c r="B21" s="199" t="str">
        <f t="shared" si="61"/>
        <v>CTARGAS</v>
      </c>
      <c r="C21" s="56" t="str">
        <f t="shared" si="62"/>
        <v xml:space="preserve"> </v>
      </c>
      <c r="D21" s="53" t="str">
        <f t="shared" si="63"/>
        <v xml:space="preserve"> </v>
      </c>
      <c r="E21" s="39" t="str">
        <f t="shared" si="64"/>
        <v xml:space="preserve"> </v>
      </c>
      <c r="F21" s="39">
        <f t="shared" si="65"/>
        <v>1</v>
      </c>
      <c r="G21" s="210" t="str">
        <f t="shared" si="66"/>
        <v xml:space="preserve"> </v>
      </c>
      <c r="I21" s="160">
        <v>12296</v>
      </c>
      <c r="J21" s="195" t="s">
        <v>8</v>
      </c>
      <c r="K21" s="162" t="str">
        <f t="shared" si="0"/>
        <v xml:space="preserve"> </v>
      </c>
      <c r="L21" s="162" t="str">
        <f t="shared" si="1"/>
        <v xml:space="preserve"> </v>
      </c>
      <c r="M21" s="162" t="str">
        <f t="shared" si="2"/>
        <v xml:space="preserve"> </v>
      </c>
      <c r="N21" s="162" t="str">
        <f t="shared" si="3"/>
        <v xml:space="preserve"> </v>
      </c>
      <c r="O21" s="162" t="str">
        <f t="shared" si="4"/>
        <v xml:space="preserve"> </v>
      </c>
      <c r="P21" s="162" t="str">
        <f t="shared" si="5"/>
        <v xml:space="preserve"> </v>
      </c>
      <c r="Q21" s="162" t="str">
        <f t="shared" si="6"/>
        <v xml:space="preserve"> </v>
      </c>
      <c r="R21" s="162" t="str">
        <f t="shared" si="7"/>
        <v xml:space="preserve"> </v>
      </c>
      <c r="S21" s="162" t="str">
        <f t="shared" si="8"/>
        <v xml:space="preserve"> </v>
      </c>
      <c r="T21" s="162" t="str">
        <f t="shared" si="9"/>
        <v xml:space="preserve"> </v>
      </c>
      <c r="U21" s="162" t="str">
        <f t="shared" si="10"/>
        <v xml:space="preserve"> </v>
      </c>
      <c r="V21" s="172" t="str">
        <f t="shared" si="11"/>
        <v xml:space="preserve"> </v>
      </c>
      <c r="W21" s="185"/>
      <c r="X21" s="178" t="str">
        <f t="shared" si="12"/>
        <v xml:space="preserve"> </v>
      </c>
      <c r="Y21" s="162" t="str">
        <f t="shared" si="13"/>
        <v xml:space="preserve"> </v>
      </c>
      <c r="Z21" s="162" t="str">
        <f t="shared" si="14"/>
        <v xml:space="preserve"> </v>
      </c>
      <c r="AA21" s="162" t="str">
        <f t="shared" si="15"/>
        <v xml:space="preserve"> </v>
      </c>
      <c r="AB21" s="162" t="str">
        <f t="shared" si="16"/>
        <v xml:space="preserve"> </v>
      </c>
      <c r="AC21" s="162" t="str">
        <f t="shared" si="17"/>
        <v xml:space="preserve"> </v>
      </c>
      <c r="AD21" s="162" t="str">
        <f t="shared" si="18"/>
        <v xml:space="preserve"> </v>
      </c>
      <c r="AE21" s="162" t="str">
        <f t="shared" si="19"/>
        <v xml:space="preserve"> </v>
      </c>
      <c r="AF21" s="162" t="str">
        <f t="shared" si="20"/>
        <v xml:space="preserve"> </v>
      </c>
      <c r="AG21" s="162" t="str">
        <f t="shared" si="21"/>
        <v xml:space="preserve"> </v>
      </c>
      <c r="AH21" s="162" t="str">
        <f t="shared" si="22"/>
        <v xml:space="preserve"> </v>
      </c>
      <c r="AI21" s="172" t="str">
        <f t="shared" si="23"/>
        <v xml:space="preserve"> </v>
      </c>
      <c r="AJ21" s="185"/>
      <c r="AK21" s="160">
        <v>12296</v>
      </c>
      <c r="AL21" s="195" t="s">
        <v>8</v>
      </c>
      <c r="AM21" s="178" t="str">
        <f t="shared" si="24"/>
        <v xml:space="preserve"> </v>
      </c>
      <c r="AN21" s="162" t="str">
        <f t="shared" si="25"/>
        <v xml:space="preserve"> </v>
      </c>
      <c r="AO21" s="162" t="str">
        <f t="shared" si="26"/>
        <v xml:space="preserve"> </v>
      </c>
      <c r="AP21" s="162" t="str">
        <f t="shared" si="27"/>
        <v xml:space="preserve"> </v>
      </c>
      <c r="AQ21" s="162" t="str">
        <f t="shared" si="28"/>
        <v xml:space="preserve"> </v>
      </c>
      <c r="AR21" s="162" t="str">
        <f t="shared" si="29"/>
        <v xml:space="preserve"> </v>
      </c>
      <c r="AS21" s="162" t="str">
        <f t="shared" si="30"/>
        <v xml:space="preserve"> </v>
      </c>
      <c r="AT21" s="162" t="str">
        <f t="shared" si="31"/>
        <v xml:space="preserve"> </v>
      </c>
      <c r="AU21" s="162" t="str">
        <f t="shared" si="32"/>
        <v xml:space="preserve"> </v>
      </c>
      <c r="AV21" s="162" t="str">
        <f t="shared" si="33"/>
        <v xml:space="preserve"> </v>
      </c>
      <c r="AW21" s="162" t="str">
        <f t="shared" si="34"/>
        <v xml:space="preserve"> </v>
      </c>
      <c r="AX21" s="172" t="str">
        <f t="shared" si="35"/>
        <v xml:space="preserve"> </v>
      </c>
      <c r="AY21" s="185"/>
      <c r="AZ21" s="178" t="str">
        <f t="shared" si="36"/>
        <v xml:space="preserve"> </v>
      </c>
      <c r="BA21" s="162" t="str">
        <f t="shared" si="37"/>
        <v xml:space="preserve"> </v>
      </c>
      <c r="BB21" s="162" t="str">
        <f t="shared" si="38"/>
        <v xml:space="preserve"> </v>
      </c>
      <c r="BC21" s="162" t="str">
        <f t="shared" si="39"/>
        <v xml:space="preserve"> </v>
      </c>
      <c r="BD21" s="162" t="str">
        <f t="shared" si="40"/>
        <v xml:space="preserve"> </v>
      </c>
      <c r="BE21" s="162" t="str">
        <f t="shared" si="41"/>
        <v xml:space="preserve"> </v>
      </c>
      <c r="BF21" s="162" t="str">
        <f t="shared" si="42"/>
        <v xml:space="preserve"> </v>
      </c>
      <c r="BG21" s="162" t="str">
        <f t="shared" si="43"/>
        <v xml:space="preserve"> </v>
      </c>
      <c r="BH21" s="162" t="str">
        <f t="shared" si="44"/>
        <v xml:space="preserve"> </v>
      </c>
      <c r="BI21" s="162" t="str">
        <f t="shared" si="45"/>
        <v xml:space="preserve"> </v>
      </c>
      <c r="BJ21" s="162" t="str">
        <f t="shared" si="46"/>
        <v xml:space="preserve"> </v>
      </c>
      <c r="BK21" s="172" t="str">
        <f t="shared" si="47"/>
        <v xml:space="preserve"> </v>
      </c>
      <c r="BL21" s="185"/>
      <c r="BM21" s="160">
        <v>12296</v>
      </c>
      <c r="BN21" s="195" t="s">
        <v>8</v>
      </c>
      <c r="BO21" s="178" t="str">
        <f t="shared" si="48"/>
        <v xml:space="preserve"> </v>
      </c>
      <c r="BP21" s="162" t="str">
        <f t="shared" si="49"/>
        <v xml:space="preserve"> </v>
      </c>
      <c r="BQ21" s="162" t="str">
        <f t="shared" si="50"/>
        <v xml:space="preserve"> </v>
      </c>
      <c r="BR21" s="162" t="str">
        <f t="shared" si="51"/>
        <v>X</v>
      </c>
      <c r="BS21" s="162" t="str">
        <f t="shared" si="52"/>
        <v xml:space="preserve"> </v>
      </c>
      <c r="BT21" s="162" t="str">
        <f t="shared" si="53"/>
        <v xml:space="preserve"> </v>
      </c>
      <c r="BU21" s="162" t="str">
        <f t="shared" si="54"/>
        <v xml:space="preserve"> </v>
      </c>
      <c r="BV21" s="162" t="str">
        <f t="shared" si="55"/>
        <v xml:space="preserve"> </v>
      </c>
      <c r="BW21" s="162" t="str">
        <f t="shared" si="56"/>
        <v xml:space="preserve"> </v>
      </c>
      <c r="BX21" s="162" t="str">
        <f t="shared" si="57"/>
        <v xml:space="preserve"> </v>
      </c>
      <c r="BY21" s="162" t="str">
        <f t="shared" si="58"/>
        <v xml:space="preserve"> </v>
      </c>
      <c r="BZ21" s="172">
        <f t="shared" si="59"/>
        <v>1</v>
      </c>
      <c r="CA21" s="189"/>
    </row>
    <row r="22" spans="1:79" ht="15.75" x14ac:dyDescent="0.25">
      <c r="A22" s="199">
        <f t="shared" si="60"/>
        <v>16786</v>
      </c>
      <c r="B22" s="199" t="str">
        <f t="shared" si="61"/>
        <v>CTARGAS</v>
      </c>
      <c r="C22" s="56" t="str">
        <f t="shared" si="62"/>
        <v xml:space="preserve"> </v>
      </c>
      <c r="D22" s="53" t="str">
        <f t="shared" si="63"/>
        <v xml:space="preserve"> </v>
      </c>
      <c r="E22" s="39" t="str">
        <f t="shared" si="64"/>
        <v xml:space="preserve"> </v>
      </c>
      <c r="F22" s="39">
        <f t="shared" si="65"/>
        <v>3</v>
      </c>
      <c r="G22" s="210" t="str">
        <f t="shared" si="66"/>
        <v xml:space="preserve"> </v>
      </c>
      <c r="I22" s="160">
        <v>16786</v>
      </c>
      <c r="J22" s="195" t="s">
        <v>8</v>
      </c>
      <c r="K22" s="162" t="str">
        <f t="shared" si="0"/>
        <v xml:space="preserve"> </v>
      </c>
      <c r="L22" s="162" t="str">
        <f t="shared" si="1"/>
        <v xml:space="preserve"> </v>
      </c>
      <c r="M22" s="162" t="str">
        <f t="shared" si="2"/>
        <v xml:space="preserve"> </v>
      </c>
      <c r="N22" s="162" t="str">
        <f t="shared" si="3"/>
        <v xml:space="preserve"> </v>
      </c>
      <c r="O22" s="162" t="str">
        <f t="shared" si="4"/>
        <v xml:space="preserve"> </v>
      </c>
      <c r="P22" s="162" t="str">
        <f t="shared" si="5"/>
        <v xml:space="preserve"> </v>
      </c>
      <c r="Q22" s="162" t="str">
        <f t="shared" si="6"/>
        <v xml:space="preserve"> </v>
      </c>
      <c r="R22" s="162" t="str">
        <f t="shared" si="7"/>
        <v xml:space="preserve"> </v>
      </c>
      <c r="S22" s="162" t="str">
        <f t="shared" si="8"/>
        <v xml:space="preserve"> </v>
      </c>
      <c r="T22" s="162" t="str">
        <f t="shared" si="9"/>
        <v xml:space="preserve"> </v>
      </c>
      <c r="U22" s="162" t="str">
        <f t="shared" si="10"/>
        <v xml:space="preserve"> </v>
      </c>
      <c r="V22" s="172" t="str">
        <f t="shared" si="11"/>
        <v xml:space="preserve"> </v>
      </c>
      <c r="W22" s="185"/>
      <c r="X22" s="178" t="str">
        <f t="shared" si="12"/>
        <v xml:space="preserve"> </v>
      </c>
      <c r="Y22" s="162" t="str">
        <f t="shared" si="13"/>
        <v xml:space="preserve"> </v>
      </c>
      <c r="Z22" s="162" t="str">
        <f t="shared" si="14"/>
        <v xml:space="preserve"> </v>
      </c>
      <c r="AA22" s="162" t="str">
        <f t="shared" si="15"/>
        <v xml:space="preserve"> </v>
      </c>
      <c r="AB22" s="162" t="str">
        <f t="shared" si="16"/>
        <v xml:space="preserve"> </v>
      </c>
      <c r="AC22" s="162" t="str">
        <f t="shared" si="17"/>
        <v xml:space="preserve"> </v>
      </c>
      <c r="AD22" s="162" t="str">
        <f t="shared" si="18"/>
        <v xml:space="preserve"> </v>
      </c>
      <c r="AE22" s="162" t="str">
        <f t="shared" si="19"/>
        <v xml:space="preserve"> </v>
      </c>
      <c r="AF22" s="162" t="str">
        <f t="shared" si="20"/>
        <v xml:space="preserve"> </v>
      </c>
      <c r="AG22" s="162" t="str">
        <f t="shared" si="21"/>
        <v xml:space="preserve"> </v>
      </c>
      <c r="AH22" s="162" t="str">
        <f t="shared" si="22"/>
        <v xml:space="preserve"> </v>
      </c>
      <c r="AI22" s="172" t="str">
        <f t="shared" si="23"/>
        <v xml:space="preserve"> </v>
      </c>
      <c r="AJ22" s="185"/>
      <c r="AK22" s="160">
        <v>16786</v>
      </c>
      <c r="AL22" s="195" t="s">
        <v>8</v>
      </c>
      <c r="AM22" s="178" t="str">
        <f t="shared" si="24"/>
        <v xml:space="preserve"> </v>
      </c>
      <c r="AN22" s="162" t="str">
        <f t="shared" si="25"/>
        <v xml:space="preserve"> </v>
      </c>
      <c r="AO22" s="162" t="str">
        <f t="shared" si="26"/>
        <v xml:space="preserve"> </v>
      </c>
      <c r="AP22" s="162" t="str">
        <f t="shared" si="27"/>
        <v xml:space="preserve"> </v>
      </c>
      <c r="AQ22" s="162" t="str">
        <f t="shared" si="28"/>
        <v xml:space="preserve"> </v>
      </c>
      <c r="AR22" s="162" t="str">
        <f t="shared" si="29"/>
        <v xml:space="preserve"> </v>
      </c>
      <c r="AS22" s="162" t="str">
        <f t="shared" si="30"/>
        <v xml:space="preserve"> </v>
      </c>
      <c r="AT22" s="162" t="str">
        <f t="shared" si="31"/>
        <v xml:space="preserve"> </v>
      </c>
      <c r="AU22" s="162" t="str">
        <f t="shared" si="32"/>
        <v xml:space="preserve"> </v>
      </c>
      <c r="AV22" s="162" t="str">
        <f t="shared" si="33"/>
        <v xml:space="preserve"> </v>
      </c>
      <c r="AW22" s="162" t="str">
        <f t="shared" si="34"/>
        <v xml:space="preserve"> </v>
      </c>
      <c r="AX22" s="172" t="str">
        <f t="shared" si="35"/>
        <v xml:space="preserve"> </v>
      </c>
      <c r="AY22" s="185"/>
      <c r="AZ22" s="178" t="str">
        <f t="shared" si="36"/>
        <v xml:space="preserve"> </v>
      </c>
      <c r="BA22" s="162" t="str">
        <f t="shared" si="37"/>
        <v xml:space="preserve"> </v>
      </c>
      <c r="BB22" s="162" t="str">
        <f t="shared" si="38"/>
        <v xml:space="preserve"> </v>
      </c>
      <c r="BC22" s="162" t="str">
        <f t="shared" si="39"/>
        <v xml:space="preserve"> </v>
      </c>
      <c r="BD22" s="162" t="str">
        <f t="shared" si="40"/>
        <v xml:space="preserve"> </v>
      </c>
      <c r="BE22" s="162" t="str">
        <f t="shared" si="41"/>
        <v xml:space="preserve"> </v>
      </c>
      <c r="BF22" s="162" t="str">
        <f t="shared" si="42"/>
        <v xml:space="preserve"> </v>
      </c>
      <c r="BG22" s="162" t="str">
        <f t="shared" si="43"/>
        <v xml:space="preserve"> </v>
      </c>
      <c r="BH22" s="162" t="str">
        <f t="shared" si="44"/>
        <v xml:space="preserve"> </v>
      </c>
      <c r="BI22" s="162" t="str">
        <f t="shared" si="45"/>
        <v xml:space="preserve"> </v>
      </c>
      <c r="BJ22" s="162" t="str">
        <f t="shared" si="46"/>
        <v xml:space="preserve"> </v>
      </c>
      <c r="BK22" s="172" t="str">
        <f t="shared" si="47"/>
        <v xml:space="preserve"> </v>
      </c>
      <c r="BL22" s="185"/>
      <c r="BM22" s="160">
        <v>16786</v>
      </c>
      <c r="BN22" s="195" t="s">
        <v>8</v>
      </c>
      <c r="BO22" s="178" t="str">
        <f t="shared" si="48"/>
        <v>X</v>
      </c>
      <c r="BP22" s="162" t="str">
        <f t="shared" si="49"/>
        <v xml:space="preserve"> </v>
      </c>
      <c r="BQ22" s="162" t="str">
        <f t="shared" si="50"/>
        <v>X</v>
      </c>
      <c r="BR22" s="162" t="str">
        <f t="shared" si="51"/>
        <v>X</v>
      </c>
      <c r="BS22" s="162" t="str">
        <f t="shared" si="52"/>
        <v xml:space="preserve"> </v>
      </c>
      <c r="BT22" s="162" t="str">
        <f t="shared" si="53"/>
        <v xml:space="preserve"> </v>
      </c>
      <c r="BU22" s="162" t="str">
        <f t="shared" si="54"/>
        <v xml:space="preserve"> </v>
      </c>
      <c r="BV22" s="162" t="str">
        <f t="shared" si="55"/>
        <v xml:space="preserve"> </v>
      </c>
      <c r="BW22" s="162" t="str">
        <f t="shared" si="56"/>
        <v xml:space="preserve"> </v>
      </c>
      <c r="BX22" s="162" t="str">
        <f t="shared" si="57"/>
        <v xml:space="preserve"> </v>
      </c>
      <c r="BY22" s="162" t="str">
        <f t="shared" si="58"/>
        <v xml:space="preserve"> </v>
      </c>
      <c r="BZ22" s="172">
        <f t="shared" si="59"/>
        <v>3</v>
      </c>
      <c r="CA22" s="189"/>
    </row>
    <row r="23" spans="1:79" ht="15.75" x14ac:dyDescent="0.25">
      <c r="A23" s="199">
        <f t="shared" si="60"/>
        <v>17791</v>
      </c>
      <c r="B23" s="199" t="str">
        <f t="shared" si="61"/>
        <v>CTARGAS</v>
      </c>
      <c r="C23" s="56" t="str">
        <f t="shared" si="62"/>
        <v xml:space="preserve"> </v>
      </c>
      <c r="D23" s="53" t="str">
        <f t="shared" si="63"/>
        <v xml:space="preserve"> </v>
      </c>
      <c r="E23" s="39" t="str">
        <f t="shared" si="64"/>
        <v xml:space="preserve"> </v>
      </c>
      <c r="F23" s="39" t="str">
        <f t="shared" si="65"/>
        <v xml:space="preserve"> </v>
      </c>
      <c r="G23" s="210" t="str">
        <f t="shared" si="66"/>
        <v xml:space="preserve"> </v>
      </c>
      <c r="I23" s="160">
        <v>17791</v>
      </c>
      <c r="J23" s="195" t="s">
        <v>8</v>
      </c>
      <c r="K23" s="162" t="str">
        <f t="shared" si="0"/>
        <v xml:space="preserve"> </v>
      </c>
      <c r="L23" s="162" t="str">
        <f t="shared" si="1"/>
        <v xml:space="preserve"> </v>
      </c>
      <c r="M23" s="162" t="str">
        <f t="shared" si="2"/>
        <v xml:space="preserve"> </v>
      </c>
      <c r="N23" s="162" t="str">
        <f t="shared" si="3"/>
        <v xml:space="preserve"> </v>
      </c>
      <c r="O23" s="162" t="str">
        <f t="shared" si="4"/>
        <v xml:space="preserve"> </v>
      </c>
      <c r="P23" s="162" t="str">
        <f t="shared" si="5"/>
        <v xml:space="preserve"> </v>
      </c>
      <c r="Q23" s="162" t="str">
        <f t="shared" si="6"/>
        <v xml:space="preserve"> </v>
      </c>
      <c r="R23" s="162" t="str">
        <f t="shared" si="7"/>
        <v xml:space="preserve"> </v>
      </c>
      <c r="S23" s="162" t="str">
        <f t="shared" si="8"/>
        <v xml:space="preserve"> </v>
      </c>
      <c r="T23" s="162" t="str">
        <f t="shared" si="9"/>
        <v xml:space="preserve"> </v>
      </c>
      <c r="U23" s="162" t="str">
        <f t="shared" si="10"/>
        <v xml:space="preserve"> </v>
      </c>
      <c r="V23" s="172" t="str">
        <f t="shared" si="11"/>
        <v xml:space="preserve"> </v>
      </c>
      <c r="W23" s="185"/>
      <c r="X23" s="178" t="str">
        <f t="shared" si="12"/>
        <v xml:space="preserve"> </v>
      </c>
      <c r="Y23" s="162" t="str">
        <f t="shared" si="13"/>
        <v xml:space="preserve"> </v>
      </c>
      <c r="Z23" s="162" t="str">
        <f t="shared" si="14"/>
        <v xml:space="preserve"> </v>
      </c>
      <c r="AA23" s="162" t="str">
        <f t="shared" si="15"/>
        <v xml:space="preserve"> </v>
      </c>
      <c r="AB23" s="162" t="str">
        <f t="shared" si="16"/>
        <v xml:space="preserve"> </v>
      </c>
      <c r="AC23" s="162" t="str">
        <f t="shared" si="17"/>
        <v xml:space="preserve"> </v>
      </c>
      <c r="AD23" s="162" t="str">
        <f t="shared" si="18"/>
        <v xml:space="preserve"> </v>
      </c>
      <c r="AE23" s="162" t="str">
        <f t="shared" si="19"/>
        <v xml:space="preserve"> </v>
      </c>
      <c r="AF23" s="162" t="str">
        <f t="shared" si="20"/>
        <v xml:space="preserve"> </v>
      </c>
      <c r="AG23" s="162" t="str">
        <f t="shared" si="21"/>
        <v xml:space="preserve"> </v>
      </c>
      <c r="AH23" s="162" t="str">
        <f t="shared" si="22"/>
        <v xml:space="preserve"> </v>
      </c>
      <c r="AI23" s="172" t="str">
        <f t="shared" si="23"/>
        <v xml:space="preserve"> </v>
      </c>
      <c r="AJ23" s="185"/>
      <c r="AK23" s="160">
        <v>17791</v>
      </c>
      <c r="AL23" s="195" t="s">
        <v>8</v>
      </c>
      <c r="AM23" s="178" t="str">
        <f t="shared" si="24"/>
        <v xml:space="preserve"> </v>
      </c>
      <c r="AN23" s="162" t="str">
        <f t="shared" si="25"/>
        <v xml:space="preserve"> </v>
      </c>
      <c r="AO23" s="162" t="str">
        <f t="shared" si="26"/>
        <v xml:space="preserve"> </v>
      </c>
      <c r="AP23" s="162" t="str">
        <f t="shared" si="27"/>
        <v xml:space="preserve"> </v>
      </c>
      <c r="AQ23" s="162" t="str">
        <f t="shared" si="28"/>
        <v xml:space="preserve"> </v>
      </c>
      <c r="AR23" s="162" t="str">
        <f t="shared" si="29"/>
        <v xml:space="preserve"> </v>
      </c>
      <c r="AS23" s="162" t="str">
        <f t="shared" si="30"/>
        <v xml:space="preserve"> </v>
      </c>
      <c r="AT23" s="162" t="str">
        <f t="shared" si="31"/>
        <v xml:space="preserve"> </v>
      </c>
      <c r="AU23" s="162" t="str">
        <f t="shared" si="32"/>
        <v xml:space="preserve"> </v>
      </c>
      <c r="AV23" s="162" t="str">
        <f t="shared" si="33"/>
        <v xml:space="preserve"> </v>
      </c>
      <c r="AW23" s="162" t="str">
        <f t="shared" si="34"/>
        <v xml:space="preserve"> </v>
      </c>
      <c r="AX23" s="172" t="str">
        <f t="shared" si="35"/>
        <v xml:space="preserve"> </v>
      </c>
      <c r="AY23" s="185"/>
      <c r="AZ23" s="178" t="str">
        <f t="shared" si="36"/>
        <v xml:space="preserve"> </v>
      </c>
      <c r="BA23" s="162" t="str">
        <f t="shared" si="37"/>
        <v xml:space="preserve"> </v>
      </c>
      <c r="BB23" s="162" t="str">
        <f t="shared" si="38"/>
        <v xml:space="preserve"> </v>
      </c>
      <c r="BC23" s="162" t="str">
        <f t="shared" si="39"/>
        <v xml:space="preserve"> </v>
      </c>
      <c r="BD23" s="162" t="str">
        <f t="shared" si="40"/>
        <v xml:space="preserve"> </v>
      </c>
      <c r="BE23" s="162" t="str">
        <f t="shared" si="41"/>
        <v xml:space="preserve"> </v>
      </c>
      <c r="BF23" s="162" t="str">
        <f t="shared" si="42"/>
        <v xml:space="preserve"> </v>
      </c>
      <c r="BG23" s="162" t="str">
        <f t="shared" si="43"/>
        <v xml:space="preserve"> </v>
      </c>
      <c r="BH23" s="162" t="str">
        <f t="shared" si="44"/>
        <v xml:space="preserve"> </v>
      </c>
      <c r="BI23" s="162" t="str">
        <f t="shared" si="45"/>
        <v xml:space="preserve"> </v>
      </c>
      <c r="BJ23" s="162" t="str">
        <f t="shared" si="46"/>
        <v xml:space="preserve"> </v>
      </c>
      <c r="BK23" s="172" t="str">
        <f t="shared" si="47"/>
        <v xml:space="preserve"> </v>
      </c>
      <c r="BL23" s="185"/>
      <c r="BM23" s="160">
        <v>17791</v>
      </c>
      <c r="BN23" s="195" t="s">
        <v>8</v>
      </c>
      <c r="BO23" s="178" t="str">
        <f t="shared" si="48"/>
        <v xml:space="preserve"> </v>
      </c>
      <c r="BP23" s="162" t="str">
        <f t="shared" si="49"/>
        <v xml:space="preserve"> </v>
      </c>
      <c r="BQ23" s="162" t="str">
        <f t="shared" si="50"/>
        <v xml:space="preserve"> </v>
      </c>
      <c r="BR23" s="162" t="str">
        <f t="shared" si="51"/>
        <v xml:space="preserve"> </v>
      </c>
      <c r="BS23" s="162" t="str">
        <f t="shared" si="52"/>
        <v xml:space="preserve"> </v>
      </c>
      <c r="BT23" s="162" t="str">
        <f t="shared" si="53"/>
        <v xml:space="preserve"> </v>
      </c>
      <c r="BU23" s="162" t="str">
        <f t="shared" si="54"/>
        <v xml:space="preserve"> </v>
      </c>
      <c r="BV23" s="162" t="str">
        <f t="shared" si="55"/>
        <v xml:space="preserve"> </v>
      </c>
      <c r="BW23" s="162" t="str">
        <f t="shared" si="56"/>
        <v xml:space="preserve"> </v>
      </c>
      <c r="BX23" s="162" t="str">
        <f t="shared" si="57"/>
        <v xml:space="preserve"> </v>
      </c>
      <c r="BY23" s="162" t="str">
        <f t="shared" si="58"/>
        <v xml:space="preserve"> </v>
      </c>
      <c r="BZ23" s="172" t="str">
        <f t="shared" si="59"/>
        <v xml:space="preserve"> </v>
      </c>
      <c r="CA23" s="189"/>
    </row>
    <row r="24" spans="1:79" ht="15.75" x14ac:dyDescent="0.25">
      <c r="A24" s="199">
        <f t="shared" si="60"/>
        <v>1117</v>
      </c>
      <c r="B24" s="199" t="str">
        <f t="shared" si="61"/>
        <v>NBAA</v>
      </c>
      <c r="C24" s="56">
        <f t="shared" si="62"/>
        <v>3</v>
      </c>
      <c r="D24" s="53">
        <f t="shared" si="63"/>
        <v>8</v>
      </c>
      <c r="E24" s="39">
        <f t="shared" si="64"/>
        <v>10</v>
      </c>
      <c r="F24" s="39">
        <f t="shared" si="65"/>
        <v>7</v>
      </c>
      <c r="G24" s="210">
        <f t="shared" si="66"/>
        <v>1</v>
      </c>
      <c r="I24" s="160">
        <v>1117</v>
      </c>
      <c r="J24" s="195" t="s">
        <v>15</v>
      </c>
      <c r="K24" s="162" t="str">
        <f t="shared" ref="K24:K47" si="67">VLOOKUP($I24,nbaa0407,17,FALSE)</f>
        <v xml:space="preserve"> </v>
      </c>
      <c r="L24" s="162" t="str">
        <f t="shared" ref="L24:L47" si="68">VLOOKUP($I24,nbaa0412,17,FALSE)</f>
        <v>X</v>
      </c>
      <c r="M24" s="162" t="str">
        <f t="shared" ref="M24:M47" si="69">VLOOKUP($I24,nbaa0415,17,FALSE)</f>
        <v>X</v>
      </c>
      <c r="N24" s="162" t="str">
        <f t="shared" ref="N24:N47" si="70">VLOOKUP($I24,nbaa0416,17,FALSE)</f>
        <v xml:space="preserve"> </v>
      </c>
      <c r="O24" s="162" t="str">
        <f t="shared" ref="O24:O47" si="71">VLOOKUP($I24,nbaa0426,17,FALSE)</f>
        <v xml:space="preserve"> </v>
      </c>
      <c r="P24" s="162" t="str">
        <f t="shared" ref="P24:P47" si="72">VLOOKUP($I24,nbaa0521,17,FALSE)</f>
        <v xml:space="preserve"> </v>
      </c>
      <c r="Q24" s="162" t="str">
        <f t="shared" ref="Q24:Q47" si="73">VLOOKUP($I24,nbaa0527,17,FALSE)</f>
        <v xml:space="preserve"> </v>
      </c>
      <c r="R24" s="162" t="str">
        <f t="shared" ref="R24:R47" si="74">VLOOKUP($I24,nbaa0528,17,FALSE)</f>
        <v xml:space="preserve"> </v>
      </c>
      <c r="S24" s="162" t="str">
        <f t="shared" ref="S24:S47" si="75">VLOOKUP($I24,nbaa0603,17,FALSE)</f>
        <v xml:space="preserve"> </v>
      </c>
      <c r="T24" s="162" t="str">
        <f t="shared" ref="T24:T47" si="76">VLOOKUP($I24,nbaa0604,17,FALSE)</f>
        <v>X</v>
      </c>
      <c r="U24" s="162" t="str">
        <f t="shared" ref="U24:U47" si="77">VLOOKUP($I24,nbaa0612,17,FALSE)</f>
        <v xml:space="preserve"> </v>
      </c>
      <c r="V24" s="172">
        <f t="shared" si="11"/>
        <v>3</v>
      </c>
      <c r="W24" s="185"/>
      <c r="X24" s="178" t="str">
        <f t="shared" ref="X24:X47" si="78">VLOOKUP($I24,nbaa0407,18,FALSE)</f>
        <v>X</v>
      </c>
      <c r="Y24" s="162" t="str">
        <f t="shared" ref="Y24:Y47" si="79">VLOOKUP($I24,nbaa0412,18,FALSE)</f>
        <v xml:space="preserve"> </v>
      </c>
      <c r="Z24" s="162" t="str">
        <f t="shared" ref="Z24:Z47" si="80">VLOOKUP($I24,nbaa0415,18,FALSE)</f>
        <v>X</v>
      </c>
      <c r="AA24" s="162" t="str">
        <f t="shared" ref="AA24:AA47" si="81">VLOOKUP($I24,nbaa0416,18,FALSE)</f>
        <v>X</v>
      </c>
      <c r="AB24" s="162" t="str">
        <f t="shared" ref="AB24:AB47" si="82">VLOOKUP($I24,nbaa0426,18,FALSE)</f>
        <v xml:space="preserve"> </v>
      </c>
      <c r="AC24" s="162" t="str">
        <f t="shared" ref="AC24:AC47" si="83">VLOOKUP($I24,nbaa0521,18,FALSE)</f>
        <v>X</v>
      </c>
      <c r="AD24" s="162" t="str">
        <f t="shared" ref="AD24:AD47" si="84">VLOOKUP($I24,nbaa0527,18,FALSE)</f>
        <v xml:space="preserve"> </v>
      </c>
      <c r="AE24" s="162" t="str">
        <f t="shared" ref="AE24:AE47" si="85">VLOOKUP($I24,nbaa0528,18,FALSE)</f>
        <v>X</v>
      </c>
      <c r="AF24" s="162" t="str">
        <f t="shared" ref="AF24:AF47" si="86">VLOOKUP($I24,nbaa0603,18,FALSE)</f>
        <v>X</v>
      </c>
      <c r="AG24" s="162" t="str">
        <f t="shared" ref="AG24:AG47" si="87">VLOOKUP($I24,nbaa0604,18,FALSE)</f>
        <v>X</v>
      </c>
      <c r="AH24" s="162" t="str">
        <f t="shared" ref="AH24:AH47" si="88">VLOOKUP($I24,nbaa0612,18,FALSE)</f>
        <v>X</v>
      </c>
      <c r="AI24" s="172">
        <f t="shared" si="23"/>
        <v>8</v>
      </c>
      <c r="AJ24" s="185"/>
      <c r="AK24" s="160">
        <v>1117</v>
      </c>
      <c r="AL24" s="195" t="s">
        <v>15</v>
      </c>
      <c r="AM24" s="178" t="str">
        <f t="shared" ref="AM24:AM47" si="89">VLOOKUP($I24,nbaa0407,19,FALSE)</f>
        <v xml:space="preserve"> </v>
      </c>
      <c r="AN24" s="162" t="str">
        <f t="shared" ref="AN24:AN47" si="90">VLOOKUP($I24,nbaa0412,19,FALSE)</f>
        <v xml:space="preserve"> </v>
      </c>
      <c r="AO24" s="162" t="str">
        <f t="shared" ref="AO24:AO47" si="91">VLOOKUP($I24,nbaa0415,19,FALSE)</f>
        <v xml:space="preserve"> </v>
      </c>
      <c r="AP24" s="162" t="str">
        <f t="shared" ref="AP24:AP47" si="92">VLOOKUP($I24,nbaa0416,19,FALSE)</f>
        <v xml:space="preserve"> </v>
      </c>
      <c r="AQ24" s="162" t="str">
        <f t="shared" ref="AQ24:AQ47" si="93">VLOOKUP($I24,nbaa0426,19,FALSE)</f>
        <v xml:space="preserve"> </v>
      </c>
      <c r="AR24" s="162" t="str">
        <f t="shared" ref="AR24:AR47" si="94">VLOOKUP($I24,nbaa0521,19,FALSE)</f>
        <v xml:space="preserve"> </v>
      </c>
      <c r="AS24" s="162" t="str">
        <f t="shared" ref="AS24:AS47" si="95">VLOOKUP($I24,nbaa0527,19,FALSE)</f>
        <v xml:space="preserve"> </v>
      </c>
      <c r="AT24" s="162" t="str">
        <f t="shared" ref="AT24:AT47" si="96">VLOOKUP($I24,nbaa0528,19,FALSE)</f>
        <v xml:space="preserve"> </v>
      </c>
      <c r="AU24" s="162" t="str">
        <f t="shared" ref="AU24:AU47" si="97">VLOOKUP($I24,nbaa0603,19,FALSE)</f>
        <v>X</v>
      </c>
      <c r="AV24" s="162" t="str">
        <f t="shared" ref="AV24:AV47" si="98">VLOOKUP($I24,nbaa0604,19,FALSE)</f>
        <v xml:space="preserve"> </v>
      </c>
      <c r="AW24" s="162" t="str">
        <f t="shared" ref="AW24:AW47" si="99">VLOOKUP($I24,nbaa0612,19,FALSE)</f>
        <v xml:space="preserve"> </v>
      </c>
      <c r="AX24" s="172">
        <f t="shared" si="35"/>
        <v>1</v>
      </c>
      <c r="AY24" s="185"/>
      <c r="AZ24" s="178" t="str">
        <f t="shared" ref="AZ24:AZ47" si="100">VLOOKUP($I24,nbaa0407,20,FALSE)</f>
        <v>X</v>
      </c>
      <c r="BA24" s="162" t="str">
        <f t="shared" ref="BA24:BA47" si="101">VLOOKUP($I24,nbaa0412,20,FALSE)</f>
        <v>X</v>
      </c>
      <c r="BB24" s="162" t="str">
        <f t="shared" ref="BB24:BB47" si="102">VLOOKUP($I24,nbaa0415,20,FALSE)</f>
        <v>X</v>
      </c>
      <c r="BC24" s="162" t="str">
        <f t="shared" ref="BC24:BC47" si="103">VLOOKUP($I24,nbaa0416,20,FALSE)</f>
        <v>X</v>
      </c>
      <c r="BD24" s="162" t="str">
        <f t="shared" ref="BD24:BD47" si="104">VLOOKUP($I24,nbaa0426,20,FALSE)</f>
        <v xml:space="preserve"> </v>
      </c>
      <c r="BE24" s="162" t="str">
        <f t="shared" ref="BE24:BE47" si="105">VLOOKUP($I24,nbaa0521,20,FALSE)</f>
        <v>X</v>
      </c>
      <c r="BF24" s="162" t="str">
        <f t="shared" ref="BF24:BF47" si="106">VLOOKUP($I24,nbaa0527,20,FALSE)</f>
        <v>X</v>
      </c>
      <c r="BG24" s="162" t="str">
        <f t="shared" ref="BG24:BG47" si="107">VLOOKUP($I24,nbaa0528,20,FALSE)</f>
        <v>X</v>
      </c>
      <c r="BH24" s="162" t="str">
        <f t="shared" ref="BH24:BH47" si="108">VLOOKUP($I24,nbaa0603,20,FALSE)</f>
        <v>X</v>
      </c>
      <c r="BI24" s="162" t="str">
        <f t="shared" ref="BI24:BI47" si="109">VLOOKUP($I24,nbaa0604,20,FALSE)</f>
        <v>X</v>
      </c>
      <c r="BJ24" s="162" t="str">
        <f t="shared" ref="BJ24:BJ47" si="110">VLOOKUP($I24,nbaa0612,20,FALSE)</f>
        <v>X</v>
      </c>
      <c r="BK24" s="172">
        <f t="shared" si="47"/>
        <v>10</v>
      </c>
      <c r="BL24" s="185"/>
      <c r="BM24" s="160">
        <v>1117</v>
      </c>
      <c r="BN24" s="195" t="s">
        <v>15</v>
      </c>
      <c r="BO24" s="178" t="e">
        <f t="shared" ref="BO24:BO47" si="111">VLOOKUP($I24,nbaa0407,21,FALSE)</f>
        <v>#REF!</v>
      </c>
      <c r="BP24" s="162" t="str">
        <f t="shared" ref="BP24:BP47" si="112">VLOOKUP($I24,nbaa0412,21,FALSE)</f>
        <v xml:space="preserve"> </v>
      </c>
      <c r="BQ24" s="162" t="str">
        <f t="shared" ref="BQ24:BQ47" si="113">VLOOKUP($I24,nbaa0415,21,FALSE)</f>
        <v>X</v>
      </c>
      <c r="BR24" s="162" t="str">
        <f t="shared" ref="BR24:BR47" si="114">VLOOKUP($I24,nbaa0416,21,FALSE)</f>
        <v>X</v>
      </c>
      <c r="BS24" s="162" t="str">
        <f t="shared" ref="BS24:BS47" si="115">VLOOKUP($I24,nbaa0426,21,FALSE)</f>
        <v xml:space="preserve"> </v>
      </c>
      <c r="BT24" s="162" t="str">
        <f t="shared" ref="BT24:BT47" si="116">VLOOKUP($I24,nbaa0521,21,FALSE)</f>
        <v>X</v>
      </c>
      <c r="BU24" s="162" t="str">
        <f t="shared" ref="BU24:BU47" si="117">VLOOKUP($I24,nbaa0527,21,FALSE)</f>
        <v xml:space="preserve"> </v>
      </c>
      <c r="BV24" s="162" t="str">
        <f t="shared" ref="BV24:BV47" si="118">VLOOKUP($I24,nbaa0528,21,FALSE)</f>
        <v>X</v>
      </c>
      <c r="BW24" s="162" t="str">
        <f t="shared" ref="BW24:BW47" si="119">VLOOKUP($I24,nbaa0603,21,FALSE)</f>
        <v>X</v>
      </c>
      <c r="BX24" s="162" t="str">
        <f t="shared" ref="BX24:BX47" si="120">VLOOKUP($I24,nbaa0604,21,FALSE)</f>
        <v>X</v>
      </c>
      <c r="BY24" s="162" t="str">
        <f t="shared" ref="BY24:BY47" si="121">VLOOKUP($I24,nbaa0612,21,FALSE)</f>
        <v>X</v>
      </c>
      <c r="BZ24" s="172">
        <f t="shared" si="59"/>
        <v>7</v>
      </c>
      <c r="CA24" s="189"/>
    </row>
    <row r="25" spans="1:79" ht="15.75" x14ac:dyDescent="0.25">
      <c r="A25" s="199">
        <f t="shared" si="60"/>
        <v>1126</v>
      </c>
      <c r="B25" s="199" t="str">
        <f t="shared" si="61"/>
        <v>NBAA</v>
      </c>
      <c r="C25" s="56">
        <f t="shared" si="62"/>
        <v>3</v>
      </c>
      <c r="D25" s="53">
        <f t="shared" si="63"/>
        <v>7</v>
      </c>
      <c r="E25" s="39">
        <f t="shared" si="64"/>
        <v>7</v>
      </c>
      <c r="F25" s="39">
        <f t="shared" si="65"/>
        <v>6</v>
      </c>
      <c r="G25" s="210" t="str">
        <f t="shared" si="66"/>
        <v xml:space="preserve"> </v>
      </c>
      <c r="I25" s="160">
        <v>1126</v>
      </c>
      <c r="J25" s="195" t="s">
        <v>15</v>
      </c>
      <c r="K25" s="162" t="str">
        <f t="shared" si="67"/>
        <v xml:space="preserve"> </v>
      </c>
      <c r="L25" s="162" t="str">
        <f t="shared" si="68"/>
        <v xml:space="preserve"> </v>
      </c>
      <c r="M25" s="162" t="str">
        <f t="shared" si="69"/>
        <v>X</v>
      </c>
      <c r="N25" s="162" t="str">
        <f t="shared" si="70"/>
        <v xml:space="preserve"> </v>
      </c>
      <c r="O25" s="162" t="str">
        <f t="shared" si="71"/>
        <v>X</v>
      </c>
      <c r="P25" s="162" t="str">
        <f t="shared" si="72"/>
        <v xml:space="preserve"> </v>
      </c>
      <c r="Q25" s="162" t="str">
        <f t="shared" si="73"/>
        <v xml:space="preserve"> </v>
      </c>
      <c r="R25" s="162" t="str">
        <f t="shared" si="74"/>
        <v xml:space="preserve"> </v>
      </c>
      <c r="S25" s="162" t="str">
        <f t="shared" si="75"/>
        <v xml:space="preserve"> </v>
      </c>
      <c r="T25" s="162" t="str">
        <f t="shared" si="76"/>
        <v>X</v>
      </c>
      <c r="U25" s="162" t="str">
        <f t="shared" si="77"/>
        <v xml:space="preserve"> </v>
      </c>
      <c r="V25" s="172">
        <f t="shared" si="11"/>
        <v>3</v>
      </c>
      <c r="W25" s="185"/>
      <c r="X25" s="178" t="str">
        <f t="shared" si="78"/>
        <v>X</v>
      </c>
      <c r="Y25" s="162" t="str">
        <f t="shared" si="79"/>
        <v>X</v>
      </c>
      <c r="Z25" s="162" t="str">
        <f t="shared" si="80"/>
        <v>X</v>
      </c>
      <c r="AA25" s="162" t="str">
        <f t="shared" si="81"/>
        <v>X</v>
      </c>
      <c r="AB25" s="162" t="str">
        <f t="shared" si="82"/>
        <v>X</v>
      </c>
      <c r="AC25" s="162" t="str">
        <f t="shared" si="83"/>
        <v xml:space="preserve"> </v>
      </c>
      <c r="AD25" s="162" t="str">
        <f t="shared" si="84"/>
        <v>X</v>
      </c>
      <c r="AE25" s="162" t="str">
        <f t="shared" si="85"/>
        <v>X</v>
      </c>
      <c r="AF25" s="162" t="str">
        <f t="shared" si="86"/>
        <v xml:space="preserve"> </v>
      </c>
      <c r="AG25" s="162" t="str">
        <f t="shared" si="87"/>
        <v xml:space="preserve"> </v>
      </c>
      <c r="AH25" s="162" t="str">
        <f t="shared" si="88"/>
        <v xml:space="preserve"> </v>
      </c>
      <c r="AI25" s="172">
        <f t="shared" si="23"/>
        <v>7</v>
      </c>
      <c r="AJ25" s="185"/>
      <c r="AK25" s="160">
        <v>1126</v>
      </c>
      <c r="AL25" s="195" t="s">
        <v>15</v>
      </c>
      <c r="AM25" s="178" t="str">
        <f t="shared" si="89"/>
        <v xml:space="preserve"> </v>
      </c>
      <c r="AN25" s="162" t="str">
        <f t="shared" si="90"/>
        <v xml:space="preserve"> </v>
      </c>
      <c r="AO25" s="162" t="str">
        <f t="shared" si="91"/>
        <v xml:space="preserve"> </v>
      </c>
      <c r="AP25" s="162" t="str">
        <f t="shared" si="92"/>
        <v xml:space="preserve"> </v>
      </c>
      <c r="AQ25" s="162" t="str">
        <f t="shared" si="93"/>
        <v xml:space="preserve"> </v>
      </c>
      <c r="AR25" s="162" t="str">
        <f t="shared" si="94"/>
        <v xml:space="preserve"> </v>
      </c>
      <c r="AS25" s="162" t="str">
        <f t="shared" si="95"/>
        <v xml:space="preserve"> </v>
      </c>
      <c r="AT25" s="162" t="str">
        <f t="shared" si="96"/>
        <v xml:space="preserve"> </v>
      </c>
      <c r="AU25" s="162" t="str">
        <f t="shared" si="97"/>
        <v xml:space="preserve"> </v>
      </c>
      <c r="AV25" s="162" t="str">
        <f t="shared" si="98"/>
        <v xml:space="preserve"> </v>
      </c>
      <c r="AW25" s="162" t="str">
        <f t="shared" si="99"/>
        <v xml:space="preserve"> </v>
      </c>
      <c r="AX25" s="172" t="str">
        <f t="shared" si="35"/>
        <v xml:space="preserve"> </v>
      </c>
      <c r="AY25" s="185"/>
      <c r="AZ25" s="178" t="str">
        <f t="shared" si="100"/>
        <v>X</v>
      </c>
      <c r="BA25" s="162" t="str">
        <f t="shared" si="101"/>
        <v>X</v>
      </c>
      <c r="BB25" s="162" t="str">
        <f t="shared" si="102"/>
        <v>X</v>
      </c>
      <c r="BC25" s="162" t="str">
        <f t="shared" si="103"/>
        <v>X</v>
      </c>
      <c r="BD25" s="162" t="str">
        <f t="shared" si="104"/>
        <v>X</v>
      </c>
      <c r="BE25" s="162" t="str">
        <f t="shared" si="105"/>
        <v xml:space="preserve"> </v>
      </c>
      <c r="BF25" s="162" t="str">
        <f t="shared" si="106"/>
        <v>X</v>
      </c>
      <c r="BG25" s="162" t="str">
        <f t="shared" si="107"/>
        <v>X</v>
      </c>
      <c r="BH25" s="162" t="str">
        <f t="shared" si="108"/>
        <v xml:space="preserve"> </v>
      </c>
      <c r="BI25" s="162" t="str">
        <f t="shared" si="109"/>
        <v xml:space="preserve"> </v>
      </c>
      <c r="BJ25" s="162" t="str">
        <f t="shared" si="110"/>
        <v xml:space="preserve"> </v>
      </c>
      <c r="BK25" s="172">
        <f t="shared" si="47"/>
        <v>7</v>
      </c>
      <c r="BL25" s="185"/>
      <c r="BM25" s="160">
        <v>1126</v>
      </c>
      <c r="BN25" s="195" t="s">
        <v>15</v>
      </c>
      <c r="BO25" s="178" t="e">
        <f t="shared" si="111"/>
        <v>#REF!</v>
      </c>
      <c r="BP25" s="162" t="str">
        <f t="shared" si="112"/>
        <v>X</v>
      </c>
      <c r="BQ25" s="162" t="str">
        <f t="shared" si="113"/>
        <v>X</v>
      </c>
      <c r="BR25" s="162" t="str">
        <f t="shared" si="114"/>
        <v>X</v>
      </c>
      <c r="BS25" s="162" t="str">
        <f t="shared" si="115"/>
        <v>X</v>
      </c>
      <c r="BT25" s="162" t="str">
        <f t="shared" si="116"/>
        <v xml:space="preserve"> </v>
      </c>
      <c r="BU25" s="162" t="str">
        <f t="shared" si="117"/>
        <v>X</v>
      </c>
      <c r="BV25" s="162" t="str">
        <f t="shared" si="118"/>
        <v>X</v>
      </c>
      <c r="BW25" s="162" t="str">
        <f t="shared" si="119"/>
        <v xml:space="preserve"> </v>
      </c>
      <c r="BX25" s="162" t="str">
        <f t="shared" si="120"/>
        <v xml:space="preserve"> </v>
      </c>
      <c r="BY25" s="162" t="str">
        <f t="shared" si="121"/>
        <v xml:space="preserve"> </v>
      </c>
      <c r="BZ25" s="172">
        <f t="shared" si="59"/>
        <v>6</v>
      </c>
      <c r="CA25" s="189"/>
    </row>
    <row r="26" spans="1:79" ht="15.75" x14ac:dyDescent="0.25">
      <c r="A26" s="199">
        <f t="shared" si="60"/>
        <v>1157</v>
      </c>
      <c r="B26" s="199" t="str">
        <f t="shared" si="61"/>
        <v>NBAA</v>
      </c>
      <c r="C26" s="56">
        <f t="shared" si="62"/>
        <v>5</v>
      </c>
      <c r="D26" s="53">
        <f t="shared" si="63"/>
        <v>7</v>
      </c>
      <c r="E26" s="39">
        <f t="shared" si="64"/>
        <v>8</v>
      </c>
      <c r="F26" s="39">
        <f t="shared" si="65"/>
        <v>7</v>
      </c>
      <c r="G26" s="210">
        <f t="shared" si="66"/>
        <v>1</v>
      </c>
      <c r="I26" s="160">
        <v>1157</v>
      </c>
      <c r="J26" s="195" t="s">
        <v>15</v>
      </c>
      <c r="K26" s="162" t="str">
        <f t="shared" si="67"/>
        <v xml:space="preserve"> </v>
      </c>
      <c r="L26" s="162" t="str">
        <f t="shared" si="68"/>
        <v>X</v>
      </c>
      <c r="M26" s="162" t="str">
        <f t="shared" si="69"/>
        <v>X</v>
      </c>
      <c r="N26" s="162" t="str">
        <f t="shared" si="70"/>
        <v xml:space="preserve"> </v>
      </c>
      <c r="O26" s="162" t="str">
        <f t="shared" si="71"/>
        <v xml:space="preserve"> </v>
      </c>
      <c r="P26" s="162" t="str">
        <f t="shared" si="72"/>
        <v>X</v>
      </c>
      <c r="Q26" s="162" t="str">
        <f t="shared" si="73"/>
        <v xml:space="preserve"> </v>
      </c>
      <c r="R26" s="162" t="str">
        <f t="shared" si="74"/>
        <v xml:space="preserve"> </v>
      </c>
      <c r="S26" s="162" t="str">
        <f t="shared" si="75"/>
        <v>X</v>
      </c>
      <c r="T26" s="162" t="str">
        <f t="shared" si="76"/>
        <v>X</v>
      </c>
      <c r="U26" s="162" t="str">
        <f t="shared" si="77"/>
        <v xml:space="preserve"> </v>
      </c>
      <c r="V26" s="172">
        <f t="shared" si="11"/>
        <v>5</v>
      </c>
      <c r="W26" s="185"/>
      <c r="X26" s="178" t="str">
        <f t="shared" si="78"/>
        <v xml:space="preserve"> </v>
      </c>
      <c r="Y26" s="162" t="str">
        <f t="shared" si="79"/>
        <v>X</v>
      </c>
      <c r="Z26" s="162" t="str">
        <f t="shared" si="80"/>
        <v>X</v>
      </c>
      <c r="AA26" s="162" t="str">
        <f t="shared" si="81"/>
        <v>X</v>
      </c>
      <c r="AB26" s="162" t="str">
        <f t="shared" si="82"/>
        <v xml:space="preserve"> </v>
      </c>
      <c r="AC26" s="162" t="str">
        <f t="shared" si="83"/>
        <v>X</v>
      </c>
      <c r="AD26" s="162" t="str">
        <f t="shared" si="84"/>
        <v>X</v>
      </c>
      <c r="AE26" s="162" t="str">
        <f t="shared" si="85"/>
        <v>X</v>
      </c>
      <c r="AF26" s="162" t="str">
        <f t="shared" si="86"/>
        <v xml:space="preserve"> </v>
      </c>
      <c r="AG26" s="162" t="str">
        <f t="shared" si="87"/>
        <v>X</v>
      </c>
      <c r="AH26" s="162" t="str">
        <f t="shared" si="88"/>
        <v xml:space="preserve"> </v>
      </c>
      <c r="AI26" s="172">
        <f t="shared" si="23"/>
        <v>7</v>
      </c>
      <c r="AJ26" s="185"/>
      <c r="AK26" s="160">
        <v>1157</v>
      </c>
      <c r="AL26" s="195" t="s">
        <v>15</v>
      </c>
      <c r="AM26" s="178" t="str">
        <f t="shared" si="89"/>
        <v xml:space="preserve"> </v>
      </c>
      <c r="AN26" s="162" t="str">
        <f t="shared" si="90"/>
        <v xml:space="preserve"> </v>
      </c>
      <c r="AO26" s="162" t="str">
        <f t="shared" si="91"/>
        <v xml:space="preserve"> </v>
      </c>
      <c r="AP26" s="162" t="str">
        <f t="shared" si="92"/>
        <v>X</v>
      </c>
      <c r="AQ26" s="162" t="str">
        <f t="shared" si="93"/>
        <v xml:space="preserve"> </v>
      </c>
      <c r="AR26" s="162" t="str">
        <f t="shared" si="94"/>
        <v xml:space="preserve"> </v>
      </c>
      <c r="AS26" s="162" t="str">
        <f t="shared" si="95"/>
        <v xml:space="preserve"> </v>
      </c>
      <c r="AT26" s="162" t="str">
        <f t="shared" si="96"/>
        <v xml:space="preserve"> </v>
      </c>
      <c r="AU26" s="162" t="str">
        <f t="shared" si="97"/>
        <v xml:space="preserve"> </v>
      </c>
      <c r="AV26" s="162" t="str">
        <f t="shared" si="98"/>
        <v xml:space="preserve"> </v>
      </c>
      <c r="AW26" s="162" t="str">
        <f t="shared" si="99"/>
        <v xml:space="preserve"> </v>
      </c>
      <c r="AX26" s="172">
        <f t="shared" si="35"/>
        <v>1</v>
      </c>
      <c r="AY26" s="185"/>
      <c r="AZ26" s="178" t="str">
        <f t="shared" si="100"/>
        <v xml:space="preserve"> </v>
      </c>
      <c r="BA26" s="162" t="str">
        <f t="shared" si="101"/>
        <v>X</v>
      </c>
      <c r="BB26" s="162" t="str">
        <f t="shared" si="102"/>
        <v>X</v>
      </c>
      <c r="BC26" s="162" t="str">
        <f t="shared" si="103"/>
        <v>X</v>
      </c>
      <c r="BD26" s="162" t="str">
        <f t="shared" si="104"/>
        <v xml:space="preserve"> </v>
      </c>
      <c r="BE26" s="162" t="str">
        <f t="shared" si="105"/>
        <v>X</v>
      </c>
      <c r="BF26" s="162" t="str">
        <f t="shared" si="106"/>
        <v>X</v>
      </c>
      <c r="BG26" s="162" t="str">
        <f t="shared" si="107"/>
        <v>X</v>
      </c>
      <c r="BH26" s="162" t="str">
        <f t="shared" si="108"/>
        <v xml:space="preserve"> </v>
      </c>
      <c r="BI26" s="162" t="str">
        <f t="shared" si="109"/>
        <v>X</v>
      </c>
      <c r="BJ26" s="162" t="str">
        <f t="shared" si="110"/>
        <v>X</v>
      </c>
      <c r="BK26" s="172">
        <f t="shared" si="47"/>
        <v>8</v>
      </c>
      <c r="BL26" s="185"/>
      <c r="BM26" s="160">
        <v>1157</v>
      </c>
      <c r="BN26" s="195" t="s">
        <v>15</v>
      </c>
      <c r="BO26" s="178" t="e">
        <f t="shared" si="111"/>
        <v>#REF!</v>
      </c>
      <c r="BP26" s="162" t="str">
        <f t="shared" si="112"/>
        <v>X</v>
      </c>
      <c r="BQ26" s="162" t="str">
        <f t="shared" si="113"/>
        <v>X</v>
      </c>
      <c r="BR26" s="162" t="str">
        <f t="shared" si="114"/>
        <v>X</v>
      </c>
      <c r="BS26" s="162" t="str">
        <f t="shared" si="115"/>
        <v xml:space="preserve"> </v>
      </c>
      <c r="BT26" s="162" t="str">
        <f t="shared" si="116"/>
        <v>X</v>
      </c>
      <c r="BU26" s="162" t="str">
        <f t="shared" si="117"/>
        <v>X</v>
      </c>
      <c r="BV26" s="162" t="str">
        <f t="shared" si="118"/>
        <v>X</v>
      </c>
      <c r="BW26" s="162" t="str">
        <f t="shared" si="119"/>
        <v xml:space="preserve"> </v>
      </c>
      <c r="BX26" s="162" t="str">
        <f t="shared" si="120"/>
        <v>X</v>
      </c>
      <c r="BY26" s="162" t="str">
        <f t="shared" si="121"/>
        <v xml:space="preserve"> </v>
      </c>
      <c r="BZ26" s="172">
        <f t="shared" si="59"/>
        <v>7</v>
      </c>
      <c r="CA26" s="189"/>
    </row>
    <row r="27" spans="1:79" ht="15.75" x14ac:dyDescent="0.25">
      <c r="A27" s="199">
        <f t="shared" si="60"/>
        <v>1281</v>
      </c>
      <c r="B27" s="199" t="str">
        <f t="shared" si="61"/>
        <v>NBAA</v>
      </c>
      <c r="C27" s="56" t="str">
        <f t="shared" si="62"/>
        <v xml:space="preserve"> </v>
      </c>
      <c r="D27" s="53">
        <f t="shared" si="63"/>
        <v>4</v>
      </c>
      <c r="E27" s="39">
        <f t="shared" si="64"/>
        <v>4</v>
      </c>
      <c r="F27" s="39">
        <f t="shared" si="65"/>
        <v>4</v>
      </c>
      <c r="G27" s="210">
        <f t="shared" si="66"/>
        <v>3</v>
      </c>
      <c r="I27" s="160">
        <v>1281</v>
      </c>
      <c r="J27" s="195" t="s">
        <v>15</v>
      </c>
      <c r="K27" s="162" t="str">
        <f t="shared" si="67"/>
        <v xml:space="preserve"> </v>
      </c>
      <c r="L27" s="162" t="str">
        <f t="shared" si="68"/>
        <v xml:space="preserve"> </v>
      </c>
      <c r="M27" s="162" t="str">
        <f t="shared" si="69"/>
        <v xml:space="preserve"> </v>
      </c>
      <c r="N27" s="162" t="str">
        <f t="shared" si="70"/>
        <v xml:space="preserve"> </v>
      </c>
      <c r="O27" s="162" t="str">
        <f t="shared" si="71"/>
        <v xml:space="preserve"> </v>
      </c>
      <c r="P27" s="162" t="str">
        <f t="shared" si="72"/>
        <v xml:space="preserve"> </v>
      </c>
      <c r="Q27" s="162" t="str">
        <f t="shared" si="73"/>
        <v xml:space="preserve"> </v>
      </c>
      <c r="R27" s="162" t="str">
        <f t="shared" si="74"/>
        <v xml:space="preserve"> </v>
      </c>
      <c r="S27" s="162" t="str">
        <f t="shared" si="75"/>
        <v xml:space="preserve"> </v>
      </c>
      <c r="T27" s="162" t="str">
        <f t="shared" si="76"/>
        <v xml:space="preserve"> </v>
      </c>
      <c r="U27" s="162" t="str">
        <f t="shared" si="77"/>
        <v xml:space="preserve"> </v>
      </c>
      <c r="V27" s="172" t="str">
        <f t="shared" si="11"/>
        <v xml:space="preserve"> </v>
      </c>
      <c r="W27" s="185"/>
      <c r="X27" s="178" t="str">
        <f t="shared" si="78"/>
        <v xml:space="preserve"> </v>
      </c>
      <c r="Y27" s="162" t="str">
        <f t="shared" si="79"/>
        <v xml:space="preserve"> </v>
      </c>
      <c r="Z27" s="162" t="str">
        <f t="shared" si="80"/>
        <v xml:space="preserve"> </v>
      </c>
      <c r="AA27" s="162" t="str">
        <f t="shared" si="81"/>
        <v xml:space="preserve"> </v>
      </c>
      <c r="AB27" s="162" t="str">
        <f t="shared" si="82"/>
        <v xml:space="preserve"> </v>
      </c>
      <c r="AC27" s="162" t="str">
        <f t="shared" si="83"/>
        <v xml:space="preserve"> </v>
      </c>
      <c r="AD27" s="162" t="str">
        <f t="shared" si="84"/>
        <v>X</v>
      </c>
      <c r="AE27" s="162" t="str">
        <f t="shared" si="85"/>
        <v>X</v>
      </c>
      <c r="AF27" s="162" t="str">
        <f t="shared" si="86"/>
        <v xml:space="preserve"> </v>
      </c>
      <c r="AG27" s="162" t="str">
        <f t="shared" si="87"/>
        <v>X</v>
      </c>
      <c r="AH27" s="162" t="str">
        <f t="shared" si="88"/>
        <v>X</v>
      </c>
      <c r="AI27" s="172">
        <f t="shared" si="23"/>
        <v>4</v>
      </c>
      <c r="AJ27" s="185"/>
      <c r="AK27" s="160">
        <v>1281</v>
      </c>
      <c r="AL27" s="195" t="s">
        <v>15</v>
      </c>
      <c r="AM27" s="178" t="str">
        <f t="shared" si="89"/>
        <v xml:space="preserve"> </v>
      </c>
      <c r="AN27" s="162" t="str">
        <f t="shared" si="90"/>
        <v>X</v>
      </c>
      <c r="AO27" s="162" t="str">
        <f t="shared" si="91"/>
        <v xml:space="preserve"> </v>
      </c>
      <c r="AP27" s="162" t="str">
        <f t="shared" si="92"/>
        <v>X</v>
      </c>
      <c r="AQ27" s="162" t="str">
        <f t="shared" si="93"/>
        <v xml:space="preserve"> </v>
      </c>
      <c r="AR27" s="162" t="str">
        <f t="shared" si="94"/>
        <v xml:space="preserve"> </v>
      </c>
      <c r="AS27" s="162" t="str">
        <f t="shared" si="95"/>
        <v xml:space="preserve"> </v>
      </c>
      <c r="AT27" s="162" t="str">
        <f t="shared" si="96"/>
        <v xml:space="preserve"> </v>
      </c>
      <c r="AU27" s="162" t="str">
        <f t="shared" si="97"/>
        <v>X</v>
      </c>
      <c r="AV27" s="162" t="str">
        <f t="shared" si="98"/>
        <v xml:space="preserve"> </v>
      </c>
      <c r="AW27" s="162" t="str">
        <f t="shared" si="99"/>
        <v xml:space="preserve"> </v>
      </c>
      <c r="AX27" s="172">
        <f t="shared" si="35"/>
        <v>3</v>
      </c>
      <c r="AY27" s="185"/>
      <c r="AZ27" s="178" t="str">
        <f t="shared" si="100"/>
        <v xml:space="preserve"> </v>
      </c>
      <c r="BA27" s="162" t="str">
        <f t="shared" si="101"/>
        <v xml:space="preserve"> </v>
      </c>
      <c r="BB27" s="162" t="str">
        <f t="shared" si="102"/>
        <v xml:space="preserve"> </v>
      </c>
      <c r="BC27" s="162" t="str">
        <f t="shared" si="103"/>
        <v xml:space="preserve"> </v>
      </c>
      <c r="BD27" s="162" t="str">
        <f t="shared" si="104"/>
        <v xml:space="preserve"> </v>
      </c>
      <c r="BE27" s="162" t="str">
        <f t="shared" si="105"/>
        <v xml:space="preserve"> </v>
      </c>
      <c r="BF27" s="162" t="str">
        <f t="shared" si="106"/>
        <v>X</v>
      </c>
      <c r="BG27" s="162" t="str">
        <f t="shared" si="107"/>
        <v>X</v>
      </c>
      <c r="BH27" s="162" t="str">
        <f t="shared" si="108"/>
        <v xml:space="preserve"> </v>
      </c>
      <c r="BI27" s="162" t="str">
        <f t="shared" si="109"/>
        <v>X</v>
      </c>
      <c r="BJ27" s="162" t="str">
        <f t="shared" si="110"/>
        <v>X</v>
      </c>
      <c r="BK27" s="172">
        <f t="shared" si="47"/>
        <v>4</v>
      </c>
      <c r="BL27" s="185"/>
      <c r="BM27" s="160">
        <v>1281</v>
      </c>
      <c r="BN27" s="195" t="s">
        <v>15</v>
      </c>
      <c r="BO27" s="178" t="e">
        <f t="shared" si="111"/>
        <v>#REF!</v>
      </c>
      <c r="BP27" s="162" t="str">
        <f t="shared" si="112"/>
        <v xml:space="preserve"> </v>
      </c>
      <c r="BQ27" s="162" t="str">
        <f t="shared" si="113"/>
        <v xml:space="preserve"> </v>
      </c>
      <c r="BR27" s="162" t="str">
        <f t="shared" si="114"/>
        <v xml:space="preserve"> </v>
      </c>
      <c r="BS27" s="162" t="str">
        <f t="shared" si="115"/>
        <v xml:space="preserve"> </v>
      </c>
      <c r="BT27" s="162" t="str">
        <f t="shared" si="116"/>
        <v xml:space="preserve"> </v>
      </c>
      <c r="BU27" s="162" t="str">
        <f t="shared" si="117"/>
        <v>X</v>
      </c>
      <c r="BV27" s="162" t="str">
        <f t="shared" si="118"/>
        <v>X</v>
      </c>
      <c r="BW27" s="162" t="str">
        <f t="shared" si="119"/>
        <v xml:space="preserve"> </v>
      </c>
      <c r="BX27" s="162" t="str">
        <f t="shared" si="120"/>
        <v>X</v>
      </c>
      <c r="BY27" s="162" t="str">
        <f t="shared" si="121"/>
        <v>X</v>
      </c>
      <c r="BZ27" s="172">
        <f t="shared" si="59"/>
        <v>4</v>
      </c>
      <c r="CA27" s="189"/>
    </row>
    <row r="28" spans="1:79" ht="15.75" x14ac:dyDescent="0.25">
      <c r="A28" s="199">
        <f t="shared" si="60"/>
        <v>1340</v>
      </c>
      <c r="B28" s="199" t="str">
        <f t="shared" si="61"/>
        <v>NBAA</v>
      </c>
      <c r="C28" s="56" t="str">
        <f t="shared" si="62"/>
        <v xml:space="preserve"> </v>
      </c>
      <c r="D28" s="53">
        <f t="shared" si="63"/>
        <v>2</v>
      </c>
      <c r="E28" s="39">
        <f t="shared" si="64"/>
        <v>2</v>
      </c>
      <c r="F28" s="39">
        <f t="shared" si="65"/>
        <v>4</v>
      </c>
      <c r="G28" s="210" t="str">
        <f t="shared" si="66"/>
        <v xml:space="preserve"> </v>
      </c>
      <c r="I28" s="160">
        <v>1340</v>
      </c>
      <c r="J28" s="195" t="s">
        <v>15</v>
      </c>
      <c r="K28" s="162" t="str">
        <f t="shared" si="67"/>
        <v xml:space="preserve"> </v>
      </c>
      <c r="L28" s="162" t="str">
        <f t="shared" si="68"/>
        <v xml:space="preserve"> </v>
      </c>
      <c r="M28" s="162" t="str">
        <f t="shared" si="69"/>
        <v xml:space="preserve"> </v>
      </c>
      <c r="N28" s="162" t="str">
        <f t="shared" si="70"/>
        <v xml:space="preserve"> </v>
      </c>
      <c r="O28" s="162" t="str">
        <f t="shared" si="71"/>
        <v xml:space="preserve"> </v>
      </c>
      <c r="P28" s="162" t="str">
        <f t="shared" si="72"/>
        <v xml:space="preserve"> </v>
      </c>
      <c r="Q28" s="162" t="str">
        <f t="shared" si="73"/>
        <v xml:space="preserve"> </v>
      </c>
      <c r="R28" s="162" t="str">
        <f t="shared" si="74"/>
        <v xml:space="preserve"> </v>
      </c>
      <c r="S28" s="162" t="str">
        <f t="shared" si="75"/>
        <v xml:space="preserve"> </v>
      </c>
      <c r="T28" s="162" t="str">
        <f t="shared" si="76"/>
        <v xml:space="preserve"> </v>
      </c>
      <c r="U28" s="162" t="str">
        <f t="shared" si="77"/>
        <v xml:space="preserve"> </v>
      </c>
      <c r="V28" s="172" t="str">
        <f t="shared" si="11"/>
        <v xml:space="preserve"> </v>
      </c>
      <c r="W28" s="185"/>
      <c r="X28" s="178" t="str">
        <f t="shared" si="78"/>
        <v xml:space="preserve"> </v>
      </c>
      <c r="Y28" s="162" t="str">
        <f t="shared" si="79"/>
        <v xml:space="preserve"> </v>
      </c>
      <c r="Z28" s="162" t="str">
        <f t="shared" si="80"/>
        <v>X</v>
      </c>
      <c r="AA28" s="162" t="str">
        <f t="shared" si="81"/>
        <v>X</v>
      </c>
      <c r="AB28" s="162" t="str">
        <f t="shared" si="82"/>
        <v xml:space="preserve"> </v>
      </c>
      <c r="AC28" s="162" t="str">
        <f t="shared" si="83"/>
        <v xml:space="preserve"> </v>
      </c>
      <c r="AD28" s="162" t="str">
        <f t="shared" si="84"/>
        <v xml:space="preserve"> </v>
      </c>
      <c r="AE28" s="162" t="str">
        <f t="shared" si="85"/>
        <v xml:space="preserve"> </v>
      </c>
      <c r="AF28" s="162" t="str">
        <f t="shared" si="86"/>
        <v xml:space="preserve"> </v>
      </c>
      <c r="AG28" s="162" t="str">
        <f t="shared" si="87"/>
        <v xml:space="preserve"> </v>
      </c>
      <c r="AH28" s="162" t="str">
        <f t="shared" si="88"/>
        <v xml:space="preserve"> </v>
      </c>
      <c r="AI28" s="172">
        <f t="shared" si="23"/>
        <v>2</v>
      </c>
      <c r="AJ28" s="185"/>
      <c r="AK28" s="160">
        <v>1340</v>
      </c>
      <c r="AL28" s="195" t="s">
        <v>15</v>
      </c>
      <c r="AM28" s="178" t="str">
        <f t="shared" si="89"/>
        <v xml:space="preserve"> </v>
      </c>
      <c r="AN28" s="162" t="str">
        <f t="shared" si="90"/>
        <v xml:space="preserve"> </v>
      </c>
      <c r="AO28" s="162" t="str">
        <f t="shared" si="91"/>
        <v xml:space="preserve"> </v>
      </c>
      <c r="AP28" s="162" t="str">
        <f t="shared" si="92"/>
        <v xml:space="preserve"> </v>
      </c>
      <c r="AQ28" s="162" t="str">
        <f t="shared" si="93"/>
        <v xml:space="preserve"> </v>
      </c>
      <c r="AR28" s="162" t="str">
        <f t="shared" si="94"/>
        <v xml:space="preserve"> </v>
      </c>
      <c r="AS28" s="162" t="str">
        <f t="shared" si="95"/>
        <v xml:space="preserve"> </v>
      </c>
      <c r="AT28" s="162" t="str">
        <f t="shared" si="96"/>
        <v xml:space="preserve"> </v>
      </c>
      <c r="AU28" s="162" t="str">
        <f t="shared" si="97"/>
        <v xml:space="preserve"> </v>
      </c>
      <c r="AV28" s="162" t="str">
        <f t="shared" si="98"/>
        <v xml:space="preserve"> </v>
      </c>
      <c r="AW28" s="162" t="str">
        <f t="shared" si="99"/>
        <v xml:space="preserve"> </v>
      </c>
      <c r="AX28" s="172" t="str">
        <f t="shared" si="35"/>
        <v xml:space="preserve"> </v>
      </c>
      <c r="AY28" s="185"/>
      <c r="AZ28" s="178" t="str">
        <f t="shared" si="100"/>
        <v xml:space="preserve"> </v>
      </c>
      <c r="BA28" s="162" t="str">
        <f t="shared" si="101"/>
        <v xml:space="preserve"> </v>
      </c>
      <c r="BB28" s="162" t="str">
        <f t="shared" si="102"/>
        <v>X</v>
      </c>
      <c r="BC28" s="162" t="str">
        <f t="shared" si="103"/>
        <v>X</v>
      </c>
      <c r="BD28" s="162" t="str">
        <f t="shared" si="104"/>
        <v xml:space="preserve"> </v>
      </c>
      <c r="BE28" s="162" t="str">
        <f t="shared" si="105"/>
        <v xml:space="preserve"> </v>
      </c>
      <c r="BF28" s="162" t="str">
        <f t="shared" si="106"/>
        <v xml:space="preserve"> </v>
      </c>
      <c r="BG28" s="162" t="str">
        <f t="shared" si="107"/>
        <v xml:space="preserve"> </v>
      </c>
      <c r="BH28" s="162" t="str">
        <f t="shared" si="108"/>
        <v xml:space="preserve"> </v>
      </c>
      <c r="BI28" s="162" t="str">
        <f t="shared" si="109"/>
        <v xml:space="preserve"> </v>
      </c>
      <c r="BJ28" s="162" t="str">
        <f t="shared" si="110"/>
        <v xml:space="preserve"> </v>
      </c>
      <c r="BK28" s="172">
        <f t="shared" si="47"/>
        <v>2</v>
      </c>
      <c r="BL28" s="185"/>
      <c r="BM28" s="160">
        <v>1340</v>
      </c>
      <c r="BN28" s="195" t="s">
        <v>15</v>
      </c>
      <c r="BO28" s="178" t="e">
        <f t="shared" si="111"/>
        <v>#REF!</v>
      </c>
      <c r="BP28" s="162" t="str">
        <f t="shared" si="112"/>
        <v xml:space="preserve"> </v>
      </c>
      <c r="BQ28" s="162" t="str">
        <f t="shared" si="113"/>
        <v>X</v>
      </c>
      <c r="BR28" s="162" t="str">
        <f t="shared" si="114"/>
        <v>X</v>
      </c>
      <c r="BS28" s="162" t="str">
        <f t="shared" si="115"/>
        <v>X</v>
      </c>
      <c r="BT28" s="162" t="str">
        <f t="shared" si="116"/>
        <v xml:space="preserve"> </v>
      </c>
      <c r="BU28" s="162" t="str">
        <f t="shared" si="117"/>
        <v xml:space="preserve"> </v>
      </c>
      <c r="BV28" s="162" t="str">
        <f t="shared" si="118"/>
        <v xml:space="preserve"> </v>
      </c>
      <c r="BW28" s="162" t="str">
        <f t="shared" si="119"/>
        <v xml:space="preserve"> </v>
      </c>
      <c r="BX28" s="162" t="str">
        <f t="shared" si="120"/>
        <v>X</v>
      </c>
      <c r="BY28" s="162" t="str">
        <f t="shared" si="121"/>
        <v xml:space="preserve"> </v>
      </c>
      <c r="BZ28" s="172">
        <f t="shared" si="59"/>
        <v>4</v>
      </c>
      <c r="CA28" s="189"/>
    </row>
    <row r="29" spans="1:79" ht="15.75" x14ac:dyDescent="0.25">
      <c r="A29" s="199">
        <f t="shared" si="60"/>
        <v>1377</v>
      </c>
      <c r="B29" s="199" t="str">
        <f t="shared" si="61"/>
        <v>NBAA</v>
      </c>
      <c r="C29" s="56">
        <f t="shared" si="62"/>
        <v>2</v>
      </c>
      <c r="D29" s="53">
        <f t="shared" si="63"/>
        <v>4</v>
      </c>
      <c r="E29" s="39">
        <f t="shared" si="64"/>
        <v>6</v>
      </c>
      <c r="F29" s="39">
        <f t="shared" si="65"/>
        <v>4</v>
      </c>
      <c r="G29" s="210">
        <f t="shared" si="66"/>
        <v>1</v>
      </c>
      <c r="I29" s="160">
        <v>1377</v>
      </c>
      <c r="J29" s="195" t="s">
        <v>15</v>
      </c>
      <c r="K29" s="162" t="str">
        <f t="shared" si="67"/>
        <v xml:space="preserve"> </v>
      </c>
      <c r="L29" s="162" t="str">
        <f t="shared" si="68"/>
        <v xml:space="preserve"> </v>
      </c>
      <c r="M29" s="162" t="str">
        <f t="shared" si="69"/>
        <v>X</v>
      </c>
      <c r="N29" s="162" t="str">
        <f t="shared" si="70"/>
        <v xml:space="preserve"> </v>
      </c>
      <c r="O29" s="162" t="str">
        <f t="shared" si="71"/>
        <v xml:space="preserve"> </v>
      </c>
      <c r="P29" s="162" t="str">
        <f t="shared" si="72"/>
        <v>X</v>
      </c>
      <c r="Q29" s="162" t="str">
        <f t="shared" si="73"/>
        <v xml:space="preserve"> </v>
      </c>
      <c r="R29" s="162" t="str">
        <f t="shared" si="74"/>
        <v xml:space="preserve"> </v>
      </c>
      <c r="S29" s="162" t="str">
        <f t="shared" si="75"/>
        <v xml:space="preserve"> </v>
      </c>
      <c r="T29" s="162" t="str">
        <f t="shared" si="76"/>
        <v xml:space="preserve"> </v>
      </c>
      <c r="U29" s="162" t="str">
        <f t="shared" si="77"/>
        <v xml:space="preserve"> </v>
      </c>
      <c r="V29" s="172">
        <f t="shared" si="11"/>
        <v>2</v>
      </c>
      <c r="W29" s="185"/>
      <c r="X29" s="178" t="str">
        <f t="shared" si="78"/>
        <v xml:space="preserve"> </v>
      </c>
      <c r="Y29" s="162" t="str">
        <f t="shared" si="79"/>
        <v>X</v>
      </c>
      <c r="Z29" s="162" t="str">
        <f t="shared" si="80"/>
        <v xml:space="preserve"> </v>
      </c>
      <c r="AA29" s="162" t="str">
        <f t="shared" si="81"/>
        <v xml:space="preserve"> </v>
      </c>
      <c r="AB29" s="162" t="str">
        <f t="shared" si="82"/>
        <v xml:space="preserve"> </v>
      </c>
      <c r="AC29" s="162" t="str">
        <f t="shared" si="83"/>
        <v>X</v>
      </c>
      <c r="AD29" s="162" t="str">
        <f t="shared" si="84"/>
        <v xml:space="preserve"> </v>
      </c>
      <c r="AE29" s="162" t="str">
        <f t="shared" si="85"/>
        <v xml:space="preserve"> </v>
      </c>
      <c r="AF29" s="162" t="str">
        <f t="shared" si="86"/>
        <v>X</v>
      </c>
      <c r="AG29" s="162" t="str">
        <f t="shared" si="87"/>
        <v xml:space="preserve"> </v>
      </c>
      <c r="AH29" s="162" t="str">
        <f t="shared" si="88"/>
        <v>X</v>
      </c>
      <c r="AI29" s="172">
        <f t="shared" si="23"/>
        <v>4</v>
      </c>
      <c r="AJ29" s="185"/>
      <c r="AK29" s="160">
        <v>1377</v>
      </c>
      <c r="AL29" s="195" t="s">
        <v>15</v>
      </c>
      <c r="AM29" s="178" t="str">
        <f t="shared" si="89"/>
        <v xml:space="preserve"> </v>
      </c>
      <c r="AN29" s="162" t="str">
        <f t="shared" si="90"/>
        <v xml:space="preserve"> </v>
      </c>
      <c r="AO29" s="162" t="str">
        <f t="shared" si="91"/>
        <v xml:space="preserve"> </v>
      </c>
      <c r="AP29" s="162" t="str">
        <f t="shared" si="92"/>
        <v xml:space="preserve"> </v>
      </c>
      <c r="AQ29" s="162" t="str">
        <f t="shared" si="93"/>
        <v>X</v>
      </c>
      <c r="AR29" s="162" t="str">
        <f t="shared" si="94"/>
        <v xml:space="preserve"> </v>
      </c>
      <c r="AS29" s="162" t="str">
        <f t="shared" si="95"/>
        <v xml:space="preserve"> </v>
      </c>
      <c r="AT29" s="162" t="str">
        <f t="shared" si="96"/>
        <v xml:space="preserve"> </v>
      </c>
      <c r="AU29" s="162" t="str">
        <f t="shared" si="97"/>
        <v xml:space="preserve"> </v>
      </c>
      <c r="AV29" s="162" t="str">
        <f t="shared" si="98"/>
        <v xml:space="preserve"> </v>
      </c>
      <c r="AW29" s="162" t="str">
        <f t="shared" si="99"/>
        <v xml:space="preserve"> </v>
      </c>
      <c r="AX29" s="172">
        <f t="shared" si="35"/>
        <v>1</v>
      </c>
      <c r="AY29" s="185"/>
      <c r="AZ29" s="178" t="str">
        <f t="shared" si="100"/>
        <v>X</v>
      </c>
      <c r="BA29" s="162" t="str">
        <f t="shared" si="101"/>
        <v>X</v>
      </c>
      <c r="BB29" s="162" t="str">
        <f t="shared" si="102"/>
        <v xml:space="preserve"> </v>
      </c>
      <c r="BC29" s="162" t="str">
        <f t="shared" si="103"/>
        <v xml:space="preserve"> </v>
      </c>
      <c r="BD29" s="162" t="str">
        <f t="shared" si="104"/>
        <v xml:space="preserve"> </v>
      </c>
      <c r="BE29" s="162" t="str">
        <f t="shared" si="105"/>
        <v>X</v>
      </c>
      <c r="BF29" s="162" t="str">
        <f t="shared" si="106"/>
        <v>X</v>
      </c>
      <c r="BG29" s="162" t="str">
        <f t="shared" si="107"/>
        <v xml:space="preserve"> </v>
      </c>
      <c r="BH29" s="162" t="str">
        <f t="shared" si="108"/>
        <v>X</v>
      </c>
      <c r="BI29" s="162" t="str">
        <f t="shared" si="109"/>
        <v xml:space="preserve"> </v>
      </c>
      <c r="BJ29" s="162" t="str">
        <f t="shared" si="110"/>
        <v>X</v>
      </c>
      <c r="BK29" s="172">
        <f t="shared" si="47"/>
        <v>6</v>
      </c>
      <c r="BL29" s="185"/>
      <c r="BM29" s="160">
        <v>1377</v>
      </c>
      <c r="BN29" s="195" t="s">
        <v>15</v>
      </c>
      <c r="BO29" s="178" t="e">
        <f t="shared" si="111"/>
        <v>#REF!</v>
      </c>
      <c r="BP29" s="162" t="str">
        <f t="shared" si="112"/>
        <v>X</v>
      </c>
      <c r="BQ29" s="162" t="str">
        <f t="shared" si="113"/>
        <v xml:space="preserve"> </v>
      </c>
      <c r="BR29" s="162" t="str">
        <f t="shared" si="114"/>
        <v xml:space="preserve"> </v>
      </c>
      <c r="BS29" s="162" t="str">
        <f t="shared" si="115"/>
        <v xml:space="preserve"> </v>
      </c>
      <c r="BT29" s="162" t="str">
        <f t="shared" si="116"/>
        <v>X</v>
      </c>
      <c r="BU29" s="162" t="str">
        <f t="shared" si="117"/>
        <v xml:space="preserve"> </v>
      </c>
      <c r="BV29" s="162" t="str">
        <f t="shared" si="118"/>
        <v xml:space="preserve"> </v>
      </c>
      <c r="BW29" s="162" t="str">
        <f t="shared" si="119"/>
        <v>X</v>
      </c>
      <c r="BX29" s="162" t="str">
        <f t="shared" si="120"/>
        <v xml:space="preserve"> </v>
      </c>
      <c r="BY29" s="162" t="str">
        <f t="shared" si="121"/>
        <v>X</v>
      </c>
      <c r="BZ29" s="172">
        <f t="shared" si="59"/>
        <v>4</v>
      </c>
      <c r="CA29" s="189"/>
    </row>
    <row r="30" spans="1:79" ht="15.75" x14ac:dyDescent="0.25">
      <c r="A30" s="199">
        <f t="shared" si="60"/>
        <v>1830</v>
      </c>
      <c r="B30" s="199" t="str">
        <f t="shared" si="61"/>
        <v>NBAA</v>
      </c>
      <c r="C30" s="56" t="str">
        <f t="shared" si="62"/>
        <v xml:space="preserve"> </v>
      </c>
      <c r="D30" s="53" t="str">
        <f t="shared" si="63"/>
        <v xml:space="preserve"> </v>
      </c>
      <c r="E30" s="39" t="str">
        <f t="shared" si="64"/>
        <v xml:space="preserve"> </v>
      </c>
      <c r="F30" s="39">
        <f t="shared" si="65"/>
        <v>3</v>
      </c>
      <c r="G30" s="210" t="str">
        <f t="shared" si="66"/>
        <v xml:space="preserve"> </v>
      </c>
      <c r="I30" s="160">
        <v>1830</v>
      </c>
      <c r="J30" s="195" t="s">
        <v>15</v>
      </c>
      <c r="K30" s="162" t="str">
        <f t="shared" si="67"/>
        <v xml:space="preserve"> </v>
      </c>
      <c r="L30" s="162" t="str">
        <f t="shared" si="68"/>
        <v xml:space="preserve"> </v>
      </c>
      <c r="M30" s="162" t="str">
        <f t="shared" si="69"/>
        <v xml:space="preserve"> </v>
      </c>
      <c r="N30" s="162" t="str">
        <f t="shared" si="70"/>
        <v xml:space="preserve"> </v>
      </c>
      <c r="O30" s="162" t="str">
        <f t="shared" si="71"/>
        <v xml:space="preserve"> </v>
      </c>
      <c r="P30" s="162" t="str">
        <f t="shared" si="72"/>
        <v xml:space="preserve"> </v>
      </c>
      <c r="Q30" s="162" t="str">
        <f t="shared" si="73"/>
        <v xml:space="preserve"> </v>
      </c>
      <c r="R30" s="162" t="str">
        <f t="shared" si="74"/>
        <v xml:space="preserve"> </v>
      </c>
      <c r="S30" s="162" t="str">
        <f t="shared" si="75"/>
        <v xml:space="preserve"> </v>
      </c>
      <c r="T30" s="162" t="str">
        <f t="shared" si="76"/>
        <v xml:space="preserve"> </v>
      </c>
      <c r="U30" s="162" t="str">
        <f t="shared" si="77"/>
        <v xml:space="preserve"> </v>
      </c>
      <c r="V30" s="172" t="str">
        <f t="shared" si="11"/>
        <v xml:space="preserve"> </v>
      </c>
      <c r="W30" s="185"/>
      <c r="X30" s="178" t="str">
        <f t="shared" si="78"/>
        <v xml:space="preserve"> </v>
      </c>
      <c r="Y30" s="162" t="str">
        <f t="shared" si="79"/>
        <v xml:space="preserve"> </v>
      </c>
      <c r="Z30" s="162" t="str">
        <f t="shared" si="80"/>
        <v xml:space="preserve"> </v>
      </c>
      <c r="AA30" s="162" t="str">
        <f t="shared" si="81"/>
        <v xml:space="preserve"> </v>
      </c>
      <c r="AB30" s="162" t="str">
        <f t="shared" si="82"/>
        <v xml:space="preserve"> </v>
      </c>
      <c r="AC30" s="162" t="str">
        <f t="shared" si="83"/>
        <v xml:space="preserve"> </v>
      </c>
      <c r="AD30" s="162" t="str">
        <f t="shared" si="84"/>
        <v xml:space="preserve"> </v>
      </c>
      <c r="AE30" s="162" t="str">
        <f t="shared" si="85"/>
        <v xml:space="preserve"> </v>
      </c>
      <c r="AF30" s="162" t="str">
        <f t="shared" si="86"/>
        <v xml:space="preserve"> </v>
      </c>
      <c r="AG30" s="162" t="str">
        <f t="shared" si="87"/>
        <v xml:space="preserve"> </v>
      </c>
      <c r="AH30" s="162" t="str">
        <f t="shared" si="88"/>
        <v xml:space="preserve"> </v>
      </c>
      <c r="AI30" s="172" t="str">
        <f t="shared" si="23"/>
        <v xml:space="preserve"> </v>
      </c>
      <c r="AJ30" s="185"/>
      <c r="AK30" s="160">
        <v>1830</v>
      </c>
      <c r="AL30" s="195" t="s">
        <v>15</v>
      </c>
      <c r="AM30" s="178" t="str">
        <f t="shared" si="89"/>
        <v xml:space="preserve"> </v>
      </c>
      <c r="AN30" s="162" t="str">
        <f t="shared" si="90"/>
        <v xml:space="preserve"> </v>
      </c>
      <c r="AO30" s="162" t="str">
        <f t="shared" si="91"/>
        <v xml:space="preserve"> </v>
      </c>
      <c r="AP30" s="162" t="str">
        <f t="shared" si="92"/>
        <v xml:space="preserve"> </v>
      </c>
      <c r="AQ30" s="162" t="str">
        <f t="shared" si="93"/>
        <v xml:space="preserve"> </v>
      </c>
      <c r="AR30" s="162" t="str">
        <f t="shared" si="94"/>
        <v xml:space="preserve"> </v>
      </c>
      <c r="AS30" s="162" t="str">
        <f t="shared" si="95"/>
        <v xml:space="preserve"> </v>
      </c>
      <c r="AT30" s="162" t="str">
        <f t="shared" si="96"/>
        <v xml:space="preserve"> </v>
      </c>
      <c r="AU30" s="162" t="str">
        <f t="shared" si="97"/>
        <v xml:space="preserve"> </v>
      </c>
      <c r="AV30" s="162" t="str">
        <f t="shared" si="98"/>
        <v xml:space="preserve"> </v>
      </c>
      <c r="AW30" s="162" t="str">
        <f t="shared" si="99"/>
        <v xml:space="preserve"> </v>
      </c>
      <c r="AX30" s="172" t="str">
        <f t="shared" si="35"/>
        <v xml:space="preserve"> </v>
      </c>
      <c r="AY30" s="185"/>
      <c r="AZ30" s="178" t="str">
        <f t="shared" si="100"/>
        <v xml:space="preserve"> </v>
      </c>
      <c r="BA30" s="162" t="str">
        <f t="shared" si="101"/>
        <v xml:space="preserve"> </v>
      </c>
      <c r="BB30" s="162" t="str">
        <f t="shared" si="102"/>
        <v xml:space="preserve"> </v>
      </c>
      <c r="BC30" s="162" t="str">
        <f t="shared" si="103"/>
        <v xml:space="preserve"> </v>
      </c>
      <c r="BD30" s="162" t="str">
        <f t="shared" si="104"/>
        <v xml:space="preserve"> </v>
      </c>
      <c r="BE30" s="162" t="str">
        <f t="shared" si="105"/>
        <v xml:space="preserve"> </v>
      </c>
      <c r="BF30" s="162" t="str">
        <f t="shared" si="106"/>
        <v xml:space="preserve"> </v>
      </c>
      <c r="BG30" s="162" t="str">
        <f t="shared" si="107"/>
        <v xml:space="preserve"> </v>
      </c>
      <c r="BH30" s="162" t="str">
        <f t="shared" si="108"/>
        <v xml:space="preserve"> </v>
      </c>
      <c r="BI30" s="162" t="str">
        <f t="shared" si="109"/>
        <v xml:space="preserve"> </v>
      </c>
      <c r="BJ30" s="162" t="str">
        <f t="shared" si="110"/>
        <v xml:space="preserve"> </v>
      </c>
      <c r="BK30" s="172" t="str">
        <f t="shared" si="47"/>
        <v xml:space="preserve"> </v>
      </c>
      <c r="BL30" s="185"/>
      <c r="BM30" s="160">
        <v>1830</v>
      </c>
      <c r="BN30" s="195" t="s">
        <v>15</v>
      </c>
      <c r="BO30" s="178" t="e">
        <f t="shared" si="111"/>
        <v>#REF!</v>
      </c>
      <c r="BP30" s="162" t="str">
        <f t="shared" si="112"/>
        <v xml:space="preserve"> </v>
      </c>
      <c r="BQ30" s="162" t="str">
        <f t="shared" si="113"/>
        <v xml:space="preserve"> </v>
      </c>
      <c r="BR30" s="162" t="str">
        <f t="shared" si="114"/>
        <v xml:space="preserve"> </v>
      </c>
      <c r="BS30" s="162" t="str">
        <f t="shared" si="115"/>
        <v xml:space="preserve"> </v>
      </c>
      <c r="BT30" s="162" t="str">
        <f t="shared" si="116"/>
        <v xml:space="preserve"> </v>
      </c>
      <c r="BU30" s="162" t="str">
        <f t="shared" si="117"/>
        <v>X</v>
      </c>
      <c r="BV30" s="162" t="str">
        <f t="shared" si="118"/>
        <v xml:space="preserve"> </v>
      </c>
      <c r="BW30" s="162" t="str">
        <f t="shared" si="119"/>
        <v>X</v>
      </c>
      <c r="BX30" s="162" t="str">
        <f t="shared" si="120"/>
        <v xml:space="preserve"> </v>
      </c>
      <c r="BY30" s="162" t="str">
        <f t="shared" si="121"/>
        <v>X</v>
      </c>
      <c r="BZ30" s="172">
        <f t="shared" si="59"/>
        <v>3</v>
      </c>
      <c r="CA30" s="189"/>
    </row>
    <row r="31" spans="1:79" ht="15.75" x14ac:dyDescent="0.25">
      <c r="A31" s="199">
        <f t="shared" si="60"/>
        <v>1864</v>
      </c>
      <c r="B31" s="199" t="str">
        <f t="shared" si="61"/>
        <v>NBAA</v>
      </c>
      <c r="C31" s="56">
        <f t="shared" si="62"/>
        <v>4</v>
      </c>
      <c r="D31" s="53">
        <f t="shared" si="63"/>
        <v>3</v>
      </c>
      <c r="E31" s="39">
        <f t="shared" si="64"/>
        <v>7</v>
      </c>
      <c r="F31" s="39">
        <f t="shared" si="65"/>
        <v>2</v>
      </c>
      <c r="G31" s="210">
        <f t="shared" si="66"/>
        <v>1</v>
      </c>
      <c r="I31" s="160">
        <v>1864</v>
      </c>
      <c r="J31" s="195" t="s">
        <v>15</v>
      </c>
      <c r="K31" s="162" t="str">
        <f t="shared" si="67"/>
        <v xml:space="preserve"> </v>
      </c>
      <c r="L31" s="162" t="str">
        <f t="shared" si="68"/>
        <v>X</v>
      </c>
      <c r="M31" s="162" t="str">
        <f t="shared" si="69"/>
        <v xml:space="preserve"> </v>
      </c>
      <c r="N31" s="162" t="str">
        <f t="shared" si="70"/>
        <v xml:space="preserve"> </v>
      </c>
      <c r="O31" s="162" t="str">
        <f t="shared" si="71"/>
        <v>X</v>
      </c>
      <c r="P31" s="162" t="str">
        <f t="shared" si="72"/>
        <v>X</v>
      </c>
      <c r="Q31" s="162" t="str">
        <f t="shared" si="73"/>
        <v xml:space="preserve"> </v>
      </c>
      <c r="R31" s="162" t="str">
        <f t="shared" si="74"/>
        <v xml:space="preserve"> </v>
      </c>
      <c r="S31" s="162" t="str">
        <f t="shared" si="75"/>
        <v>X</v>
      </c>
      <c r="T31" s="162" t="str">
        <f t="shared" si="76"/>
        <v xml:space="preserve"> </v>
      </c>
      <c r="U31" s="162" t="str">
        <f t="shared" si="77"/>
        <v xml:space="preserve"> </v>
      </c>
      <c r="V31" s="172">
        <f t="shared" si="11"/>
        <v>4</v>
      </c>
      <c r="W31" s="185"/>
      <c r="X31" s="178" t="str">
        <f t="shared" si="78"/>
        <v>X</v>
      </c>
      <c r="Y31" s="162" t="str">
        <f t="shared" si="79"/>
        <v>X</v>
      </c>
      <c r="Z31" s="162" t="str">
        <f t="shared" si="80"/>
        <v xml:space="preserve"> </v>
      </c>
      <c r="AA31" s="162" t="str">
        <f t="shared" si="81"/>
        <v xml:space="preserve"> </v>
      </c>
      <c r="AB31" s="162" t="str">
        <f t="shared" si="82"/>
        <v>X</v>
      </c>
      <c r="AC31" s="162" t="str">
        <f t="shared" si="83"/>
        <v xml:space="preserve"> </v>
      </c>
      <c r="AD31" s="162" t="str">
        <f t="shared" si="84"/>
        <v xml:space="preserve"> </v>
      </c>
      <c r="AE31" s="162" t="str">
        <f t="shared" si="85"/>
        <v xml:space="preserve"> </v>
      </c>
      <c r="AF31" s="162" t="str">
        <f t="shared" si="86"/>
        <v xml:space="preserve"> </v>
      </c>
      <c r="AG31" s="162" t="str">
        <f t="shared" si="87"/>
        <v xml:space="preserve"> </v>
      </c>
      <c r="AH31" s="162" t="str">
        <f t="shared" si="88"/>
        <v xml:space="preserve"> </v>
      </c>
      <c r="AI31" s="172">
        <f t="shared" si="23"/>
        <v>3</v>
      </c>
      <c r="AJ31" s="185"/>
      <c r="AK31" s="160">
        <v>1864</v>
      </c>
      <c r="AL31" s="195" t="s">
        <v>15</v>
      </c>
      <c r="AM31" s="178" t="str">
        <f t="shared" si="89"/>
        <v xml:space="preserve"> </v>
      </c>
      <c r="AN31" s="162" t="str">
        <f t="shared" si="90"/>
        <v xml:space="preserve"> </v>
      </c>
      <c r="AO31" s="162" t="str">
        <f t="shared" si="91"/>
        <v xml:space="preserve"> </v>
      </c>
      <c r="AP31" s="162" t="str">
        <f t="shared" si="92"/>
        <v xml:space="preserve"> </v>
      </c>
      <c r="AQ31" s="162" t="str">
        <f t="shared" si="93"/>
        <v xml:space="preserve"> </v>
      </c>
      <c r="AR31" s="162" t="str">
        <f t="shared" si="94"/>
        <v xml:space="preserve"> </v>
      </c>
      <c r="AS31" s="162" t="str">
        <f t="shared" si="95"/>
        <v xml:space="preserve"> </v>
      </c>
      <c r="AT31" s="162" t="str">
        <f t="shared" si="96"/>
        <v xml:space="preserve"> </v>
      </c>
      <c r="AU31" s="162" t="str">
        <f t="shared" si="97"/>
        <v xml:space="preserve"> </v>
      </c>
      <c r="AV31" s="162" t="str">
        <f t="shared" si="98"/>
        <v>X</v>
      </c>
      <c r="AW31" s="162" t="str">
        <f t="shared" si="99"/>
        <v xml:space="preserve"> </v>
      </c>
      <c r="AX31" s="172">
        <f t="shared" si="35"/>
        <v>1</v>
      </c>
      <c r="AY31" s="185"/>
      <c r="AZ31" s="178" t="str">
        <f t="shared" si="100"/>
        <v>X</v>
      </c>
      <c r="BA31" s="162" t="str">
        <f t="shared" si="101"/>
        <v>X</v>
      </c>
      <c r="BB31" s="162" t="str">
        <f t="shared" si="102"/>
        <v xml:space="preserve"> </v>
      </c>
      <c r="BC31" s="162" t="str">
        <f t="shared" si="103"/>
        <v xml:space="preserve"> </v>
      </c>
      <c r="BD31" s="162" t="str">
        <f t="shared" si="104"/>
        <v>X</v>
      </c>
      <c r="BE31" s="162" t="str">
        <f t="shared" si="105"/>
        <v>X</v>
      </c>
      <c r="BF31" s="162" t="str">
        <f t="shared" si="106"/>
        <v xml:space="preserve"> </v>
      </c>
      <c r="BG31" s="162" t="str">
        <f t="shared" si="107"/>
        <v xml:space="preserve"> </v>
      </c>
      <c r="BH31" s="162" t="str">
        <f t="shared" si="108"/>
        <v>X</v>
      </c>
      <c r="BI31" s="162" t="str">
        <f t="shared" si="109"/>
        <v>X</v>
      </c>
      <c r="BJ31" s="162" t="str">
        <f t="shared" si="110"/>
        <v>X</v>
      </c>
      <c r="BK31" s="172">
        <f t="shared" si="47"/>
        <v>7</v>
      </c>
      <c r="BL31" s="185"/>
      <c r="BM31" s="160">
        <v>1864</v>
      </c>
      <c r="BN31" s="195" t="s">
        <v>15</v>
      </c>
      <c r="BO31" s="178" t="e">
        <f t="shared" si="111"/>
        <v>#REF!</v>
      </c>
      <c r="BP31" s="162" t="str">
        <f t="shared" si="112"/>
        <v>X</v>
      </c>
      <c r="BQ31" s="162" t="str">
        <f t="shared" si="113"/>
        <v xml:space="preserve"> </v>
      </c>
      <c r="BR31" s="162" t="str">
        <f t="shared" si="114"/>
        <v xml:space="preserve"> </v>
      </c>
      <c r="BS31" s="162" t="str">
        <f t="shared" si="115"/>
        <v>X</v>
      </c>
      <c r="BT31" s="162" t="str">
        <f t="shared" si="116"/>
        <v xml:space="preserve"> </v>
      </c>
      <c r="BU31" s="162" t="str">
        <f t="shared" si="117"/>
        <v xml:space="preserve"> </v>
      </c>
      <c r="BV31" s="162" t="str">
        <f t="shared" si="118"/>
        <v xml:space="preserve"> </v>
      </c>
      <c r="BW31" s="162" t="str">
        <f t="shared" si="119"/>
        <v xml:space="preserve"> </v>
      </c>
      <c r="BX31" s="162" t="str">
        <f t="shared" si="120"/>
        <v xml:space="preserve"> </v>
      </c>
      <c r="BY31" s="162" t="str">
        <f t="shared" si="121"/>
        <v xml:space="preserve"> </v>
      </c>
      <c r="BZ31" s="172">
        <f t="shared" si="59"/>
        <v>2</v>
      </c>
      <c r="CA31" s="189"/>
    </row>
    <row r="32" spans="1:79" ht="15.75" x14ac:dyDescent="0.25">
      <c r="A32" s="199">
        <f t="shared" si="60"/>
        <v>1922</v>
      </c>
      <c r="B32" s="199" t="str">
        <f t="shared" si="61"/>
        <v>NBAA</v>
      </c>
      <c r="C32" s="56">
        <f t="shared" si="62"/>
        <v>3</v>
      </c>
      <c r="D32" s="53">
        <f t="shared" si="63"/>
        <v>5</v>
      </c>
      <c r="E32" s="39">
        <f t="shared" si="64"/>
        <v>5</v>
      </c>
      <c r="F32" s="39">
        <f t="shared" si="65"/>
        <v>4</v>
      </c>
      <c r="G32" s="210">
        <f t="shared" si="66"/>
        <v>2</v>
      </c>
      <c r="I32" s="160">
        <v>1922</v>
      </c>
      <c r="J32" s="195" t="s">
        <v>15</v>
      </c>
      <c r="K32" s="162" t="str">
        <f t="shared" si="67"/>
        <v xml:space="preserve"> </v>
      </c>
      <c r="L32" s="162" t="str">
        <f t="shared" si="68"/>
        <v xml:space="preserve"> </v>
      </c>
      <c r="M32" s="162" t="str">
        <f t="shared" si="69"/>
        <v xml:space="preserve"> </v>
      </c>
      <c r="N32" s="162" t="str">
        <f t="shared" si="70"/>
        <v>X</v>
      </c>
      <c r="O32" s="162" t="str">
        <f t="shared" si="71"/>
        <v>X</v>
      </c>
      <c r="P32" s="162" t="str">
        <f t="shared" si="72"/>
        <v>X</v>
      </c>
      <c r="Q32" s="162" t="str">
        <f t="shared" si="73"/>
        <v xml:space="preserve"> </v>
      </c>
      <c r="R32" s="162" t="str">
        <f t="shared" si="74"/>
        <v xml:space="preserve"> </v>
      </c>
      <c r="S32" s="162" t="str">
        <f t="shared" si="75"/>
        <v xml:space="preserve"> </v>
      </c>
      <c r="T32" s="162" t="str">
        <f t="shared" si="76"/>
        <v xml:space="preserve"> </v>
      </c>
      <c r="U32" s="162" t="str">
        <f t="shared" si="77"/>
        <v xml:space="preserve"> </v>
      </c>
      <c r="V32" s="172">
        <f t="shared" si="11"/>
        <v>3</v>
      </c>
      <c r="W32" s="185"/>
      <c r="X32" s="178" t="str">
        <f t="shared" si="78"/>
        <v>X</v>
      </c>
      <c r="Y32" s="162" t="str">
        <f t="shared" si="79"/>
        <v xml:space="preserve"> </v>
      </c>
      <c r="Z32" s="162" t="str">
        <f t="shared" si="80"/>
        <v xml:space="preserve"> </v>
      </c>
      <c r="AA32" s="162" t="str">
        <f t="shared" si="81"/>
        <v xml:space="preserve"> </v>
      </c>
      <c r="AB32" s="162" t="str">
        <f t="shared" si="82"/>
        <v xml:space="preserve"> </v>
      </c>
      <c r="AC32" s="162" t="str">
        <f t="shared" si="83"/>
        <v>X</v>
      </c>
      <c r="AD32" s="162" t="str">
        <f t="shared" si="84"/>
        <v>X</v>
      </c>
      <c r="AE32" s="162" t="str">
        <f t="shared" si="85"/>
        <v>X</v>
      </c>
      <c r="AF32" s="162" t="str">
        <f t="shared" si="86"/>
        <v xml:space="preserve"> </v>
      </c>
      <c r="AG32" s="162" t="str">
        <f t="shared" si="87"/>
        <v xml:space="preserve"> </v>
      </c>
      <c r="AH32" s="162" t="str">
        <f t="shared" si="88"/>
        <v>X</v>
      </c>
      <c r="AI32" s="172">
        <f t="shared" si="23"/>
        <v>5</v>
      </c>
      <c r="AJ32" s="185"/>
      <c r="AK32" s="160">
        <v>1922</v>
      </c>
      <c r="AL32" s="195" t="s">
        <v>15</v>
      </c>
      <c r="AM32" s="178" t="str">
        <f t="shared" si="89"/>
        <v xml:space="preserve"> </v>
      </c>
      <c r="AN32" s="162" t="str">
        <f t="shared" si="90"/>
        <v xml:space="preserve"> </v>
      </c>
      <c r="AO32" s="162" t="str">
        <f t="shared" si="91"/>
        <v>X</v>
      </c>
      <c r="AP32" s="162" t="str">
        <f t="shared" si="92"/>
        <v xml:space="preserve"> </v>
      </c>
      <c r="AQ32" s="162" t="str">
        <f t="shared" si="93"/>
        <v xml:space="preserve"> </v>
      </c>
      <c r="AR32" s="162" t="str">
        <f t="shared" si="94"/>
        <v xml:space="preserve"> </v>
      </c>
      <c r="AS32" s="162" t="str">
        <f t="shared" si="95"/>
        <v xml:space="preserve"> </v>
      </c>
      <c r="AT32" s="162" t="str">
        <f t="shared" si="96"/>
        <v xml:space="preserve"> </v>
      </c>
      <c r="AU32" s="162" t="str">
        <f t="shared" si="97"/>
        <v>X</v>
      </c>
      <c r="AV32" s="162" t="str">
        <f t="shared" si="98"/>
        <v xml:space="preserve"> </v>
      </c>
      <c r="AW32" s="162" t="str">
        <f t="shared" si="99"/>
        <v xml:space="preserve"> </v>
      </c>
      <c r="AX32" s="172">
        <f t="shared" si="35"/>
        <v>2</v>
      </c>
      <c r="AY32" s="185"/>
      <c r="AZ32" s="178" t="str">
        <f t="shared" si="100"/>
        <v>X</v>
      </c>
      <c r="BA32" s="162" t="str">
        <f t="shared" si="101"/>
        <v xml:space="preserve"> </v>
      </c>
      <c r="BB32" s="162" t="str">
        <f t="shared" si="102"/>
        <v xml:space="preserve"> </v>
      </c>
      <c r="BC32" s="162" t="str">
        <f t="shared" si="103"/>
        <v xml:space="preserve"> </v>
      </c>
      <c r="BD32" s="162" t="str">
        <f t="shared" si="104"/>
        <v xml:space="preserve"> </v>
      </c>
      <c r="BE32" s="162" t="str">
        <f t="shared" si="105"/>
        <v>X</v>
      </c>
      <c r="BF32" s="162" t="str">
        <f t="shared" si="106"/>
        <v>X</v>
      </c>
      <c r="BG32" s="162" t="str">
        <f t="shared" si="107"/>
        <v>X</v>
      </c>
      <c r="BH32" s="162" t="str">
        <f t="shared" si="108"/>
        <v xml:space="preserve"> </v>
      </c>
      <c r="BI32" s="162" t="str">
        <f t="shared" si="109"/>
        <v xml:space="preserve"> </v>
      </c>
      <c r="BJ32" s="162" t="str">
        <f t="shared" si="110"/>
        <v>X</v>
      </c>
      <c r="BK32" s="172">
        <f t="shared" si="47"/>
        <v>5</v>
      </c>
      <c r="BL32" s="185"/>
      <c r="BM32" s="160">
        <v>1922</v>
      </c>
      <c r="BN32" s="195" t="s">
        <v>15</v>
      </c>
      <c r="BO32" s="178" t="e">
        <f t="shared" si="111"/>
        <v>#REF!</v>
      </c>
      <c r="BP32" s="162" t="str">
        <f t="shared" si="112"/>
        <v xml:space="preserve"> </v>
      </c>
      <c r="BQ32" s="162" t="str">
        <f t="shared" si="113"/>
        <v xml:space="preserve"> </v>
      </c>
      <c r="BR32" s="162" t="str">
        <f t="shared" si="114"/>
        <v xml:space="preserve"> </v>
      </c>
      <c r="BS32" s="162" t="str">
        <f t="shared" si="115"/>
        <v xml:space="preserve"> </v>
      </c>
      <c r="BT32" s="162" t="str">
        <f t="shared" si="116"/>
        <v>X</v>
      </c>
      <c r="BU32" s="162" t="str">
        <f t="shared" si="117"/>
        <v>X</v>
      </c>
      <c r="BV32" s="162" t="str">
        <f t="shared" si="118"/>
        <v>X</v>
      </c>
      <c r="BW32" s="162" t="str">
        <f t="shared" si="119"/>
        <v xml:space="preserve"> </v>
      </c>
      <c r="BX32" s="162" t="str">
        <f t="shared" si="120"/>
        <v xml:space="preserve"> </v>
      </c>
      <c r="BY32" s="162" t="str">
        <f t="shared" si="121"/>
        <v>X</v>
      </c>
      <c r="BZ32" s="172">
        <f t="shared" si="59"/>
        <v>4</v>
      </c>
      <c r="CA32" s="189"/>
    </row>
    <row r="33" spans="1:79" ht="15.75" x14ac:dyDescent="0.25">
      <c r="A33" s="199">
        <f t="shared" si="60"/>
        <v>1928</v>
      </c>
      <c r="B33" s="199" t="str">
        <f t="shared" si="61"/>
        <v>NBAA</v>
      </c>
      <c r="C33" s="56" t="str">
        <f t="shared" si="62"/>
        <v xml:space="preserve"> </v>
      </c>
      <c r="D33" s="53">
        <f t="shared" si="63"/>
        <v>5</v>
      </c>
      <c r="E33" s="39">
        <f t="shared" si="64"/>
        <v>5</v>
      </c>
      <c r="F33" s="39">
        <f t="shared" si="65"/>
        <v>5</v>
      </c>
      <c r="G33" s="210" t="str">
        <f t="shared" si="66"/>
        <v xml:space="preserve"> </v>
      </c>
      <c r="I33" s="160">
        <v>1928</v>
      </c>
      <c r="J33" s="195" t="s">
        <v>15</v>
      </c>
      <c r="K33" s="162" t="str">
        <f t="shared" si="67"/>
        <v xml:space="preserve"> </v>
      </c>
      <c r="L33" s="162" t="str">
        <f t="shared" si="68"/>
        <v xml:space="preserve"> </v>
      </c>
      <c r="M33" s="162" t="str">
        <f t="shared" si="69"/>
        <v xml:space="preserve"> </v>
      </c>
      <c r="N33" s="162" t="str">
        <f t="shared" si="70"/>
        <v xml:space="preserve"> </v>
      </c>
      <c r="O33" s="162" t="str">
        <f t="shared" si="71"/>
        <v xml:space="preserve"> </v>
      </c>
      <c r="P33" s="162" t="str">
        <f t="shared" si="72"/>
        <v xml:space="preserve"> </v>
      </c>
      <c r="Q33" s="162" t="str">
        <f t="shared" si="73"/>
        <v xml:space="preserve"> </v>
      </c>
      <c r="R33" s="162" t="str">
        <f t="shared" si="74"/>
        <v xml:space="preserve"> </v>
      </c>
      <c r="S33" s="162" t="str">
        <f t="shared" si="75"/>
        <v xml:space="preserve"> </v>
      </c>
      <c r="T33" s="162" t="str">
        <f t="shared" si="76"/>
        <v xml:space="preserve"> </v>
      </c>
      <c r="U33" s="162" t="str">
        <f t="shared" si="77"/>
        <v xml:space="preserve"> </v>
      </c>
      <c r="V33" s="172" t="str">
        <f t="shared" si="11"/>
        <v xml:space="preserve"> </v>
      </c>
      <c r="W33" s="185"/>
      <c r="X33" s="178" t="str">
        <f t="shared" si="78"/>
        <v xml:space="preserve"> </v>
      </c>
      <c r="Y33" s="162" t="str">
        <f t="shared" si="79"/>
        <v>X</v>
      </c>
      <c r="Z33" s="162" t="str">
        <f t="shared" si="80"/>
        <v>X</v>
      </c>
      <c r="AA33" s="162" t="str">
        <f t="shared" si="81"/>
        <v>X</v>
      </c>
      <c r="AB33" s="162" t="str">
        <f t="shared" si="82"/>
        <v>X</v>
      </c>
      <c r="AC33" s="162" t="str">
        <f t="shared" si="83"/>
        <v xml:space="preserve"> </v>
      </c>
      <c r="AD33" s="162" t="str">
        <f t="shared" si="84"/>
        <v xml:space="preserve"> </v>
      </c>
      <c r="AE33" s="162" t="str">
        <f t="shared" si="85"/>
        <v xml:space="preserve"> </v>
      </c>
      <c r="AF33" s="162" t="str">
        <f t="shared" si="86"/>
        <v xml:space="preserve"> </v>
      </c>
      <c r="AG33" s="162" t="str">
        <f t="shared" si="87"/>
        <v xml:space="preserve"> </v>
      </c>
      <c r="AH33" s="162" t="str">
        <f t="shared" si="88"/>
        <v>X</v>
      </c>
      <c r="AI33" s="172">
        <f t="shared" si="23"/>
        <v>5</v>
      </c>
      <c r="AJ33" s="185"/>
      <c r="AK33" s="160">
        <v>1928</v>
      </c>
      <c r="AL33" s="195" t="s">
        <v>15</v>
      </c>
      <c r="AM33" s="178" t="str">
        <f t="shared" si="89"/>
        <v xml:space="preserve"> </v>
      </c>
      <c r="AN33" s="162" t="str">
        <f t="shared" si="90"/>
        <v xml:space="preserve"> </v>
      </c>
      <c r="AO33" s="162" t="str">
        <f t="shared" si="91"/>
        <v xml:space="preserve"> </v>
      </c>
      <c r="AP33" s="162" t="str">
        <f t="shared" si="92"/>
        <v xml:space="preserve"> </v>
      </c>
      <c r="AQ33" s="162" t="str">
        <f t="shared" si="93"/>
        <v xml:space="preserve"> </v>
      </c>
      <c r="AR33" s="162" t="str">
        <f t="shared" si="94"/>
        <v xml:space="preserve"> </v>
      </c>
      <c r="AS33" s="162" t="str">
        <f t="shared" si="95"/>
        <v xml:space="preserve"> </v>
      </c>
      <c r="AT33" s="162" t="str">
        <f t="shared" si="96"/>
        <v xml:space="preserve"> </v>
      </c>
      <c r="AU33" s="162" t="str">
        <f t="shared" si="97"/>
        <v xml:space="preserve"> </v>
      </c>
      <c r="AV33" s="162" t="str">
        <f t="shared" si="98"/>
        <v xml:space="preserve"> </v>
      </c>
      <c r="AW33" s="162" t="str">
        <f t="shared" si="99"/>
        <v xml:space="preserve"> </v>
      </c>
      <c r="AX33" s="172" t="str">
        <f t="shared" si="35"/>
        <v xml:space="preserve"> </v>
      </c>
      <c r="AY33" s="185"/>
      <c r="AZ33" s="178" t="str">
        <f t="shared" si="100"/>
        <v xml:space="preserve"> </v>
      </c>
      <c r="BA33" s="162" t="str">
        <f t="shared" si="101"/>
        <v>X</v>
      </c>
      <c r="BB33" s="162" t="str">
        <f t="shared" si="102"/>
        <v>X</v>
      </c>
      <c r="BC33" s="162" t="str">
        <f t="shared" si="103"/>
        <v>X</v>
      </c>
      <c r="BD33" s="162" t="str">
        <f t="shared" si="104"/>
        <v>X</v>
      </c>
      <c r="BE33" s="162" t="str">
        <f t="shared" si="105"/>
        <v xml:space="preserve"> </v>
      </c>
      <c r="BF33" s="162" t="str">
        <f t="shared" si="106"/>
        <v xml:space="preserve"> </v>
      </c>
      <c r="BG33" s="162" t="str">
        <f t="shared" si="107"/>
        <v xml:space="preserve"> </v>
      </c>
      <c r="BH33" s="162" t="str">
        <f t="shared" si="108"/>
        <v xml:space="preserve"> </v>
      </c>
      <c r="BI33" s="162" t="str">
        <f t="shared" si="109"/>
        <v xml:space="preserve"> </v>
      </c>
      <c r="BJ33" s="162" t="str">
        <f t="shared" si="110"/>
        <v>X</v>
      </c>
      <c r="BK33" s="172">
        <f t="shared" si="47"/>
        <v>5</v>
      </c>
      <c r="BL33" s="185"/>
      <c r="BM33" s="160">
        <v>1928</v>
      </c>
      <c r="BN33" s="195" t="s">
        <v>15</v>
      </c>
      <c r="BO33" s="178" t="e">
        <f t="shared" si="111"/>
        <v>#REF!</v>
      </c>
      <c r="BP33" s="162" t="str">
        <f t="shared" si="112"/>
        <v>X</v>
      </c>
      <c r="BQ33" s="162" t="str">
        <f t="shared" si="113"/>
        <v>X</v>
      </c>
      <c r="BR33" s="162" t="str">
        <f t="shared" si="114"/>
        <v>X</v>
      </c>
      <c r="BS33" s="162" t="str">
        <f t="shared" si="115"/>
        <v>X</v>
      </c>
      <c r="BT33" s="162" t="str">
        <f t="shared" si="116"/>
        <v xml:space="preserve"> </v>
      </c>
      <c r="BU33" s="162" t="str">
        <f t="shared" si="117"/>
        <v xml:space="preserve"> </v>
      </c>
      <c r="BV33" s="162" t="str">
        <f t="shared" si="118"/>
        <v xml:space="preserve"> </v>
      </c>
      <c r="BW33" s="162" t="str">
        <f t="shared" si="119"/>
        <v xml:space="preserve"> </v>
      </c>
      <c r="BX33" s="162" t="str">
        <f t="shared" si="120"/>
        <v xml:space="preserve"> </v>
      </c>
      <c r="BY33" s="162" t="str">
        <f t="shared" si="121"/>
        <v>X</v>
      </c>
      <c r="BZ33" s="172">
        <f t="shared" si="59"/>
        <v>5</v>
      </c>
      <c r="CA33" s="189"/>
    </row>
    <row r="34" spans="1:79" ht="15.75" x14ac:dyDescent="0.25">
      <c r="A34" s="199">
        <f t="shared" si="60"/>
        <v>2056</v>
      </c>
      <c r="B34" s="199" t="str">
        <f t="shared" si="61"/>
        <v>NBAA</v>
      </c>
      <c r="C34" s="56">
        <f t="shared" si="62"/>
        <v>1</v>
      </c>
      <c r="D34" s="53" t="str">
        <f t="shared" si="63"/>
        <v xml:space="preserve"> </v>
      </c>
      <c r="E34" s="39">
        <f t="shared" si="64"/>
        <v>4</v>
      </c>
      <c r="F34" s="39" t="str">
        <f t="shared" si="65"/>
        <v xml:space="preserve"> </v>
      </c>
      <c r="G34" s="210">
        <f t="shared" si="66"/>
        <v>1</v>
      </c>
      <c r="I34" s="160">
        <v>2056</v>
      </c>
      <c r="J34" s="195" t="s">
        <v>15</v>
      </c>
      <c r="K34" s="162" t="str">
        <f t="shared" si="67"/>
        <v xml:space="preserve"> </v>
      </c>
      <c r="L34" s="162" t="str">
        <f t="shared" si="68"/>
        <v xml:space="preserve"> </v>
      </c>
      <c r="M34" s="162" t="str">
        <f t="shared" si="69"/>
        <v xml:space="preserve"> </v>
      </c>
      <c r="N34" s="162" t="str">
        <f t="shared" si="70"/>
        <v xml:space="preserve"> </v>
      </c>
      <c r="O34" s="162" t="str">
        <f t="shared" si="71"/>
        <v xml:space="preserve"> </v>
      </c>
      <c r="P34" s="162" t="str">
        <f t="shared" si="72"/>
        <v xml:space="preserve"> </v>
      </c>
      <c r="Q34" s="162" t="str">
        <f t="shared" si="73"/>
        <v xml:space="preserve"> </v>
      </c>
      <c r="R34" s="162" t="str">
        <f t="shared" si="74"/>
        <v xml:space="preserve"> </v>
      </c>
      <c r="S34" s="162" t="str">
        <f t="shared" si="75"/>
        <v xml:space="preserve"> </v>
      </c>
      <c r="T34" s="162" t="str">
        <f t="shared" si="76"/>
        <v>X</v>
      </c>
      <c r="U34" s="162" t="str">
        <f t="shared" si="77"/>
        <v xml:space="preserve"> </v>
      </c>
      <c r="V34" s="172">
        <f t="shared" si="11"/>
        <v>1</v>
      </c>
      <c r="W34" s="185"/>
      <c r="X34" s="178" t="str">
        <f t="shared" si="78"/>
        <v xml:space="preserve"> </v>
      </c>
      <c r="Y34" s="162" t="str">
        <f t="shared" si="79"/>
        <v xml:space="preserve"> </v>
      </c>
      <c r="Z34" s="162" t="str">
        <f t="shared" si="80"/>
        <v xml:space="preserve"> </v>
      </c>
      <c r="AA34" s="162" t="str">
        <f t="shared" si="81"/>
        <v xml:space="preserve"> </v>
      </c>
      <c r="AB34" s="162" t="str">
        <f t="shared" si="82"/>
        <v xml:space="preserve"> </v>
      </c>
      <c r="AC34" s="162" t="str">
        <f t="shared" si="83"/>
        <v xml:space="preserve"> </v>
      </c>
      <c r="AD34" s="162" t="str">
        <f t="shared" si="84"/>
        <v xml:space="preserve"> </v>
      </c>
      <c r="AE34" s="162" t="str">
        <f t="shared" si="85"/>
        <v xml:space="preserve"> </v>
      </c>
      <c r="AF34" s="162" t="str">
        <f t="shared" si="86"/>
        <v xml:space="preserve"> </v>
      </c>
      <c r="AG34" s="162" t="str">
        <f t="shared" si="87"/>
        <v xml:space="preserve"> </v>
      </c>
      <c r="AH34" s="162" t="str">
        <f t="shared" si="88"/>
        <v xml:space="preserve"> </v>
      </c>
      <c r="AI34" s="172" t="str">
        <f t="shared" si="23"/>
        <v xml:space="preserve"> </v>
      </c>
      <c r="AJ34" s="185"/>
      <c r="AK34" s="160">
        <v>2056</v>
      </c>
      <c r="AL34" s="195" t="s">
        <v>15</v>
      </c>
      <c r="AM34" s="178" t="str">
        <f t="shared" si="89"/>
        <v xml:space="preserve"> </v>
      </c>
      <c r="AN34" s="162" t="str">
        <f t="shared" si="90"/>
        <v>X</v>
      </c>
      <c r="AO34" s="162" t="str">
        <f t="shared" si="91"/>
        <v xml:space="preserve"> </v>
      </c>
      <c r="AP34" s="162" t="str">
        <f t="shared" si="92"/>
        <v xml:space="preserve"> </v>
      </c>
      <c r="AQ34" s="162" t="str">
        <f t="shared" si="93"/>
        <v xml:space="preserve"> </v>
      </c>
      <c r="AR34" s="162" t="str">
        <f t="shared" si="94"/>
        <v xml:space="preserve"> </v>
      </c>
      <c r="AS34" s="162" t="str">
        <f t="shared" si="95"/>
        <v xml:space="preserve"> </v>
      </c>
      <c r="AT34" s="162" t="str">
        <f t="shared" si="96"/>
        <v xml:space="preserve"> </v>
      </c>
      <c r="AU34" s="162" t="str">
        <f t="shared" si="97"/>
        <v xml:space="preserve"> </v>
      </c>
      <c r="AV34" s="162" t="str">
        <f t="shared" si="98"/>
        <v xml:space="preserve"> </v>
      </c>
      <c r="AW34" s="162" t="str">
        <f t="shared" si="99"/>
        <v xml:space="preserve"> </v>
      </c>
      <c r="AX34" s="172">
        <f t="shared" si="35"/>
        <v>1</v>
      </c>
      <c r="AY34" s="185"/>
      <c r="AZ34" s="178" t="str">
        <f t="shared" si="100"/>
        <v xml:space="preserve"> </v>
      </c>
      <c r="BA34" s="162" t="str">
        <f t="shared" si="101"/>
        <v xml:space="preserve"> </v>
      </c>
      <c r="BB34" s="162" t="str">
        <f t="shared" si="102"/>
        <v xml:space="preserve"> </v>
      </c>
      <c r="BC34" s="162" t="str">
        <f t="shared" si="103"/>
        <v xml:space="preserve"> </v>
      </c>
      <c r="BD34" s="162" t="str">
        <f t="shared" si="104"/>
        <v>X</v>
      </c>
      <c r="BE34" s="162" t="str">
        <f t="shared" si="105"/>
        <v>X</v>
      </c>
      <c r="BF34" s="162" t="str">
        <f t="shared" si="106"/>
        <v>X</v>
      </c>
      <c r="BG34" s="162" t="str">
        <f t="shared" si="107"/>
        <v xml:space="preserve"> </v>
      </c>
      <c r="BH34" s="162" t="str">
        <f t="shared" si="108"/>
        <v xml:space="preserve"> </v>
      </c>
      <c r="BI34" s="162" t="str">
        <f t="shared" si="109"/>
        <v xml:space="preserve"> </v>
      </c>
      <c r="BJ34" s="162" t="str">
        <f t="shared" si="110"/>
        <v>X</v>
      </c>
      <c r="BK34" s="172">
        <f t="shared" si="47"/>
        <v>4</v>
      </c>
      <c r="BL34" s="185"/>
      <c r="BM34" s="160">
        <v>2056</v>
      </c>
      <c r="BN34" s="195" t="s">
        <v>15</v>
      </c>
      <c r="BO34" s="178" t="e">
        <f t="shared" si="111"/>
        <v>#REF!</v>
      </c>
      <c r="BP34" s="162" t="str">
        <f t="shared" si="112"/>
        <v xml:space="preserve"> </v>
      </c>
      <c r="BQ34" s="162" t="str">
        <f t="shared" si="113"/>
        <v xml:space="preserve"> </v>
      </c>
      <c r="BR34" s="162" t="str">
        <f t="shared" si="114"/>
        <v xml:space="preserve"> </v>
      </c>
      <c r="BS34" s="162" t="str">
        <f t="shared" si="115"/>
        <v xml:space="preserve"> </v>
      </c>
      <c r="BT34" s="162" t="str">
        <f t="shared" si="116"/>
        <v xml:space="preserve"> </v>
      </c>
      <c r="BU34" s="162" t="str">
        <f t="shared" si="117"/>
        <v xml:space="preserve"> </v>
      </c>
      <c r="BV34" s="162" t="str">
        <f t="shared" si="118"/>
        <v xml:space="preserve"> </v>
      </c>
      <c r="BW34" s="162" t="str">
        <f t="shared" si="119"/>
        <v xml:space="preserve"> </v>
      </c>
      <c r="BX34" s="162" t="str">
        <f t="shared" si="120"/>
        <v xml:space="preserve"> </v>
      </c>
      <c r="BY34" s="162" t="str">
        <f t="shared" si="121"/>
        <v xml:space="preserve"> </v>
      </c>
      <c r="BZ34" s="172" t="str">
        <f t="shared" si="59"/>
        <v xml:space="preserve"> </v>
      </c>
      <c r="CA34" s="189"/>
    </row>
    <row r="35" spans="1:79" ht="15.75" x14ac:dyDescent="0.25">
      <c r="A35" s="199">
        <f t="shared" si="60"/>
        <v>2280</v>
      </c>
      <c r="B35" s="199" t="str">
        <f t="shared" si="61"/>
        <v>NBAA</v>
      </c>
      <c r="C35" s="56" t="str">
        <f t="shared" si="62"/>
        <v xml:space="preserve"> </v>
      </c>
      <c r="D35" s="53" t="str">
        <f t="shared" si="63"/>
        <v xml:space="preserve"> </v>
      </c>
      <c r="E35" s="39" t="str">
        <f t="shared" si="64"/>
        <v xml:space="preserve"> </v>
      </c>
      <c r="F35" s="39">
        <f t="shared" si="65"/>
        <v>1</v>
      </c>
      <c r="G35" s="210" t="str">
        <f t="shared" si="66"/>
        <v xml:space="preserve"> </v>
      </c>
      <c r="I35" s="160">
        <v>2280</v>
      </c>
      <c r="J35" s="195" t="s">
        <v>15</v>
      </c>
      <c r="K35" s="162" t="str">
        <f t="shared" si="67"/>
        <v xml:space="preserve"> </v>
      </c>
      <c r="L35" s="162" t="str">
        <f t="shared" si="68"/>
        <v xml:space="preserve"> </v>
      </c>
      <c r="M35" s="162" t="str">
        <f t="shared" si="69"/>
        <v xml:space="preserve"> </v>
      </c>
      <c r="N35" s="162" t="str">
        <f t="shared" si="70"/>
        <v xml:space="preserve"> </v>
      </c>
      <c r="O35" s="162" t="str">
        <f t="shared" si="71"/>
        <v xml:space="preserve"> </v>
      </c>
      <c r="P35" s="162" t="str">
        <f t="shared" si="72"/>
        <v xml:space="preserve"> </v>
      </c>
      <c r="Q35" s="162" t="str">
        <f t="shared" si="73"/>
        <v xml:space="preserve"> </v>
      </c>
      <c r="R35" s="162" t="str">
        <f t="shared" si="74"/>
        <v xml:space="preserve"> </v>
      </c>
      <c r="S35" s="162" t="str">
        <f t="shared" si="75"/>
        <v xml:space="preserve"> </v>
      </c>
      <c r="T35" s="162" t="str">
        <f t="shared" si="76"/>
        <v xml:space="preserve"> </v>
      </c>
      <c r="U35" s="162" t="str">
        <f t="shared" si="77"/>
        <v xml:space="preserve"> </v>
      </c>
      <c r="V35" s="172" t="str">
        <f t="shared" si="11"/>
        <v xml:space="preserve"> </v>
      </c>
      <c r="W35" s="185"/>
      <c r="X35" s="178" t="str">
        <f t="shared" si="78"/>
        <v xml:space="preserve"> </v>
      </c>
      <c r="Y35" s="162" t="str">
        <f t="shared" si="79"/>
        <v xml:space="preserve"> </v>
      </c>
      <c r="Z35" s="162" t="str">
        <f t="shared" si="80"/>
        <v xml:space="preserve"> </v>
      </c>
      <c r="AA35" s="162" t="str">
        <f t="shared" si="81"/>
        <v xml:space="preserve"> </v>
      </c>
      <c r="AB35" s="162" t="str">
        <f t="shared" si="82"/>
        <v xml:space="preserve"> </v>
      </c>
      <c r="AC35" s="162" t="str">
        <f t="shared" si="83"/>
        <v xml:space="preserve"> </v>
      </c>
      <c r="AD35" s="162" t="str">
        <f t="shared" si="84"/>
        <v xml:space="preserve"> </v>
      </c>
      <c r="AE35" s="162" t="str">
        <f t="shared" si="85"/>
        <v xml:space="preserve"> </v>
      </c>
      <c r="AF35" s="162" t="str">
        <f t="shared" si="86"/>
        <v xml:space="preserve"> </v>
      </c>
      <c r="AG35" s="162" t="str">
        <f t="shared" si="87"/>
        <v xml:space="preserve"> </v>
      </c>
      <c r="AH35" s="162" t="str">
        <f t="shared" si="88"/>
        <v xml:space="preserve"> </v>
      </c>
      <c r="AI35" s="172" t="str">
        <f t="shared" si="23"/>
        <v xml:space="preserve"> </v>
      </c>
      <c r="AJ35" s="185"/>
      <c r="AK35" s="160">
        <v>2280</v>
      </c>
      <c r="AL35" s="195" t="s">
        <v>15</v>
      </c>
      <c r="AM35" s="178" t="str">
        <f t="shared" si="89"/>
        <v xml:space="preserve"> </v>
      </c>
      <c r="AN35" s="162" t="str">
        <f t="shared" si="90"/>
        <v xml:space="preserve"> </v>
      </c>
      <c r="AO35" s="162" t="str">
        <f t="shared" si="91"/>
        <v xml:space="preserve"> </v>
      </c>
      <c r="AP35" s="162" t="str">
        <f t="shared" si="92"/>
        <v xml:space="preserve"> </v>
      </c>
      <c r="AQ35" s="162" t="str">
        <f t="shared" si="93"/>
        <v xml:space="preserve"> </v>
      </c>
      <c r="AR35" s="162" t="str">
        <f t="shared" si="94"/>
        <v xml:space="preserve"> </v>
      </c>
      <c r="AS35" s="162" t="str">
        <f t="shared" si="95"/>
        <v xml:space="preserve"> </v>
      </c>
      <c r="AT35" s="162" t="str">
        <f t="shared" si="96"/>
        <v xml:space="preserve"> </v>
      </c>
      <c r="AU35" s="162" t="str">
        <f t="shared" si="97"/>
        <v xml:space="preserve"> </v>
      </c>
      <c r="AV35" s="162" t="str">
        <f t="shared" si="98"/>
        <v xml:space="preserve"> </v>
      </c>
      <c r="AW35" s="162" t="str">
        <f t="shared" si="99"/>
        <v xml:space="preserve"> </v>
      </c>
      <c r="AX35" s="172" t="str">
        <f t="shared" si="35"/>
        <v xml:space="preserve"> </v>
      </c>
      <c r="AY35" s="185"/>
      <c r="AZ35" s="178" t="str">
        <f t="shared" si="100"/>
        <v xml:space="preserve"> </v>
      </c>
      <c r="BA35" s="162" t="str">
        <f t="shared" si="101"/>
        <v xml:space="preserve"> </v>
      </c>
      <c r="BB35" s="162" t="str">
        <f t="shared" si="102"/>
        <v xml:space="preserve"> </v>
      </c>
      <c r="BC35" s="162" t="str">
        <f t="shared" si="103"/>
        <v xml:space="preserve"> </v>
      </c>
      <c r="BD35" s="162" t="str">
        <f t="shared" si="104"/>
        <v xml:space="preserve"> </v>
      </c>
      <c r="BE35" s="162" t="str">
        <f t="shared" si="105"/>
        <v xml:space="preserve"> </v>
      </c>
      <c r="BF35" s="162" t="str">
        <f t="shared" si="106"/>
        <v xml:space="preserve"> </v>
      </c>
      <c r="BG35" s="162" t="str">
        <f t="shared" si="107"/>
        <v xml:space="preserve"> </v>
      </c>
      <c r="BH35" s="162" t="str">
        <f t="shared" si="108"/>
        <v xml:space="preserve"> </v>
      </c>
      <c r="BI35" s="162" t="str">
        <f t="shared" si="109"/>
        <v xml:space="preserve"> </v>
      </c>
      <c r="BJ35" s="162" t="str">
        <f t="shared" si="110"/>
        <v xml:space="preserve"> </v>
      </c>
      <c r="BK35" s="172" t="str">
        <f t="shared" si="47"/>
        <v xml:space="preserve"> </v>
      </c>
      <c r="BL35" s="185"/>
      <c r="BM35" s="160">
        <v>2280</v>
      </c>
      <c r="BN35" s="195" t="s">
        <v>15</v>
      </c>
      <c r="BO35" s="178" t="e">
        <f t="shared" si="111"/>
        <v>#REF!</v>
      </c>
      <c r="BP35" s="162" t="str">
        <f t="shared" si="112"/>
        <v xml:space="preserve"> </v>
      </c>
      <c r="BQ35" s="162" t="str">
        <f t="shared" si="113"/>
        <v xml:space="preserve"> </v>
      </c>
      <c r="BR35" s="162" t="str">
        <f t="shared" si="114"/>
        <v xml:space="preserve"> </v>
      </c>
      <c r="BS35" s="162" t="str">
        <f t="shared" si="115"/>
        <v xml:space="preserve"> </v>
      </c>
      <c r="BT35" s="162" t="str">
        <f t="shared" si="116"/>
        <v xml:space="preserve"> </v>
      </c>
      <c r="BU35" s="162" t="str">
        <f t="shared" si="117"/>
        <v xml:space="preserve"> </v>
      </c>
      <c r="BV35" s="162" t="str">
        <f t="shared" si="118"/>
        <v xml:space="preserve"> </v>
      </c>
      <c r="BW35" s="162" t="str">
        <f t="shared" si="119"/>
        <v xml:space="preserve"> </v>
      </c>
      <c r="BX35" s="162" t="str">
        <f t="shared" si="120"/>
        <v xml:space="preserve"> </v>
      </c>
      <c r="BY35" s="162" t="str">
        <f t="shared" si="121"/>
        <v>X</v>
      </c>
      <c r="BZ35" s="172">
        <f t="shared" si="59"/>
        <v>1</v>
      </c>
      <c r="CA35" s="189"/>
    </row>
    <row r="36" spans="1:79" ht="15.75" x14ac:dyDescent="0.25">
      <c r="A36" s="199">
        <f t="shared" si="60"/>
        <v>2584</v>
      </c>
      <c r="B36" s="199" t="str">
        <f t="shared" si="61"/>
        <v>NBAA</v>
      </c>
      <c r="C36" s="56">
        <f t="shared" si="62"/>
        <v>3</v>
      </c>
      <c r="D36" s="53">
        <f t="shared" si="63"/>
        <v>2</v>
      </c>
      <c r="E36" s="39">
        <f t="shared" si="64"/>
        <v>4</v>
      </c>
      <c r="F36" s="39">
        <f t="shared" si="65"/>
        <v>2</v>
      </c>
      <c r="G36" s="210" t="str">
        <f t="shared" si="66"/>
        <v xml:space="preserve"> </v>
      </c>
      <c r="I36" s="160">
        <v>2584</v>
      </c>
      <c r="J36" s="195" t="s">
        <v>15</v>
      </c>
      <c r="K36" s="162" t="str">
        <f t="shared" si="67"/>
        <v xml:space="preserve"> </v>
      </c>
      <c r="L36" s="162" t="str">
        <f t="shared" si="68"/>
        <v>X</v>
      </c>
      <c r="M36" s="162" t="str">
        <f t="shared" si="69"/>
        <v>X</v>
      </c>
      <c r="N36" s="162" t="str">
        <f t="shared" si="70"/>
        <v xml:space="preserve"> </v>
      </c>
      <c r="O36" s="162" t="str">
        <f t="shared" si="71"/>
        <v>X</v>
      </c>
      <c r="P36" s="162" t="str">
        <f t="shared" si="72"/>
        <v xml:space="preserve"> </v>
      </c>
      <c r="Q36" s="162" t="str">
        <f t="shared" si="73"/>
        <v xml:space="preserve"> </v>
      </c>
      <c r="R36" s="162" t="str">
        <f t="shared" si="74"/>
        <v xml:space="preserve"> </v>
      </c>
      <c r="S36" s="162" t="str">
        <f t="shared" si="75"/>
        <v xml:space="preserve"> </v>
      </c>
      <c r="T36" s="162" t="str">
        <f t="shared" si="76"/>
        <v xml:space="preserve"> </v>
      </c>
      <c r="U36" s="162" t="str">
        <f t="shared" si="77"/>
        <v xml:space="preserve"> </v>
      </c>
      <c r="V36" s="172">
        <f t="shared" si="11"/>
        <v>3</v>
      </c>
      <c r="W36" s="185"/>
      <c r="X36" s="178" t="str">
        <f t="shared" si="78"/>
        <v xml:space="preserve"> </v>
      </c>
      <c r="Y36" s="162" t="str">
        <f t="shared" si="79"/>
        <v>X</v>
      </c>
      <c r="Z36" s="162" t="str">
        <f t="shared" si="80"/>
        <v xml:space="preserve"> </v>
      </c>
      <c r="AA36" s="162" t="str">
        <f t="shared" si="81"/>
        <v xml:space="preserve"> </v>
      </c>
      <c r="AB36" s="162" t="str">
        <f t="shared" si="82"/>
        <v>X</v>
      </c>
      <c r="AC36" s="162" t="str">
        <f t="shared" si="83"/>
        <v xml:space="preserve"> </v>
      </c>
      <c r="AD36" s="162" t="str">
        <f t="shared" si="84"/>
        <v xml:space="preserve"> </v>
      </c>
      <c r="AE36" s="162" t="str">
        <f t="shared" si="85"/>
        <v xml:space="preserve"> </v>
      </c>
      <c r="AF36" s="162" t="str">
        <f t="shared" si="86"/>
        <v xml:space="preserve"> </v>
      </c>
      <c r="AG36" s="162" t="str">
        <f t="shared" si="87"/>
        <v xml:space="preserve"> </v>
      </c>
      <c r="AH36" s="162" t="str">
        <f t="shared" si="88"/>
        <v xml:space="preserve"> </v>
      </c>
      <c r="AI36" s="172">
        <f t="shared" si="23"/>
        <v>2</v>
      </c>
      <c r="AJ36" s="185"/>
      <c r="AK36" s="160">
        <v>2584</v>
      </c>
      <c r="AL36" s="195" t="s">
        <v>15</v>
      </c>
      <c r="AM36" s="178" t="str">
        <f t="shared" si="89"/>
        <v xml:space="preserve"> </v>
      </c>
      <c r="AN36" s="162" t="str">
        <f t="shared" si="90"/>
        <v xml:space="preserve"> </v>
      </c>
      <c r="AO36" s="162" t="str">
        <f t="shared" si="91"/>
        <v xml:space="preserve"> </v>
      </c>
      <c r="AP36" s="162" t="str">
        <f t="shared" si="92"/>
        <v xml:space="preserve"> </v>
      </c>
      <c r="AQ36" s="162" t="str">
        <f t="shared" si="93"/>
        <v xml:space="preserve"> </v>
      </c>
      <c r="AR36" s="162" t="str">
        <f t="shared" si="94"/>
        <v xml:space="preserve"> </v>
      </c>
      <c r="AS36" s="162" t="str">
        <f t="shared" si="95"/>
        <v xml:space="preserve"> </v>
      </c>
      <c r="AT36" s="162" t="str">
        <f t="shared" si="96"/>
        <v xml:space="preserve"> </v>
      </c>
      <c r="AU36" s="162" t="str">
        <f t="shared" si="97"/>
        <v xml:space="preserve"> </v>
      </c>
      <c r="AV36" s="162" t="str">
        <f t="shared" si="98"/>
        <v xml:space="preserve"> </v>
      </c>
      <c r="AW36" s="162" t="str">
        <f t="shared" si="99"/>
        <v xml:space="preserve"> </v>
      </c>
      <c r="AX36" s="172" t="str">
        <f t="shared" si="35"/>
        <v xml:space="preserve"> </v>
      </c>
      <c r="AY36" s="185"/>
      <c r="AZ36" s="178" t="str">
        <f t="shared" si="100"/>
        <v xml:space="preserve"> </v>
      </c>
      <c r="BA36" s="162" t="str">
        <f t="shared" si="101"/>
        <v>X</v>
      </c>
      <c r="BB36" s="162" t="str">
        <f t="shared" si="102"/>
        <v>X</v>
      </c>
      <c r="BC36" s="162" t="str">
        <f t="shared" si="103"/>
        <v>X</v>
      </c>
      <c r="BD36" s="162" t="str">
        <f t="shared" si="104"/>
        <v>X</v>
      </c>
      <c r="BE36" s="162" t="str">
        <f t="shared" si="105"/>
        <v xml:space="preserve"> </v>
      </c>
      <c r="BF36" s="162" t="str">
        <f t="shared" si="106"/>
        <v xml:space="preserve"> </v>
      </c>
      <c r="BG36" s="162" t="str">
        <f t="shared" si="107"/>
        <v xml:space="preserve"> </v>
      </c>
      <c r="BH36" s="162" t="str">
        <f t="shared" si="108"/>
        <v xml:space="preserve"> </v>
      </c>
      <c r="BI36" s="162" t="str">
        <f t="shared" si="109"/>
        <v xml:space="preserve"> </v>
      </c>
      <c r="BJ36" s="162" t="str">
        <f t="shared" si="110"/>
        <v xml:space="preserve"> </v>
      </c>
      <c r="BK36" s="172">
        <f t="shared" si="47"/>
        <v>4</v>
      </c>
      <c r="BL36" s="185"/>
      <c r="BM36" s="160">
        <v>2584</v>
      </c>
      <c r="BN36" s="195" t="s">
        <v>15</v>
      </c>
      <c r="BO36" s="178" t="e">
        <f t="shared" si="111"/>
        <v>#REF!</v>
      </c>
      <c r="BP36" s="162" t="str">
        <f t="shared" si="112"/>
        <v>X</v>
      </c>
      <c r="BQ36" s="162" t="str">
        <f t="shared" si="113"/>
        <v xml:space="preserve"> </v>
      </c>
      <c r="BR36" s="162" t="str">
        <f t="shared" si="114"/>
        <v xml:space="preserve"> </v>
      </c>
      <c r="BS36" s="162" t="str">
        <f t="shared" si="115"/>
        <v>X</v>
      </c>
      <c r="BT36" s="162" t="str">
        <f t="shared" si="116"/>
        <v xml:space="preserve"> </v>
      </c>
      <c r="BU36" s="162" t="str">
        <f t="shared" si="117"/>
        <v xml:space="preserve"> </v>
      </c>
      <c r="BV36" s="162" t="str">
        <f t="shared" si="118"/>
        <v xml:space="preserve"> </v>
      </c>
      <c r="BW36" s="162" t="str">
        <f t="shared" si="119"/>
        <v xml:space="preserve"> </v>
      </c>
      <c r="BX36" s="162" t="str">
        <f t="shared" si="120"/>
        <v xml:space="preserve"> </v>
      </c>
      <c r="BY36" s="162" t="str">
        <f t="shared" si="121"/>
        <v xml:space="preserve"> </v>
      </c>
      <c r="BZ36" s="172">
        <f t="shared" si="59"/>
        <v>2</v>
      </c>
      <c r="CA36" s="189"/>
    </row>
    <row r="37" spans="1:79" ht="15.75" x14ac:dyDescent="0.25">
      <c r="A37" s="199">
        <f t="shared" si="60"/>
        <v>2771</v>
      </c>
      <c r="B37" s="199" t="str">
        <f t="shared" si="61"/>
        <v>NBAA</v>
      </c>
      <c r="C37" s="56">
        <f t="shared" si="62"/>
        <v>5</v>
      </c>
      <c r="D37" s="53">
        <f t="shared" si="63"/>
        <v>7</v>
      </c>
      <c r="E37" s="39">
        <f t="shared" si="64"/>
        <v>7</v>
      </c>
      <c r="F37" s="39">
        <f t="shared" si="65"/>
        <v>6</v>
      </c>
      <c r="G37" s="210">
        <f t="shared" si="66"/>
        <v>1</v>
      </c>
      <c r="I37" s="160">
        <v>2771</v>
      </c>
      <c r="J37" s="195" t="s">
        <v>15</v>
      </c>
      <c r="K37" s="162" t="str">
        <f t="shared" si="67"/>
        <v xml:space="preserve"> </v>
      </c>
      <c r="L37" s="162" t="str">
        <f t="shared" si="68"/>
        <v>X</v>
      </c>
      <c r="M37" s="162" t="str">
        <f t="shared" si="69"/>
        <v xml:space="preserve"> </v>
      </c>
      <c r="N37" s="162" t="str">
        <f t="shared" si="70"/>
        <v>X</v>
      </c>
      <c r="O37" s="162" t="str">
        <f t="shared" si="71"/>
        <v xml:space="preserve"> </v>
      </c>
      <c r="P37" s="162" t="str">
        <f t="shared" si="72"/>
        <v>X</v>
      </c>
      <c r="Q37" s="162" t="str">
        <f t="shared" si="73"/>
        <v xml:space="preserve"> </v>
      </c>
      <c r="R37" s="162" t="str">
        <f t="shared" si="74"/>
        <v xml:space="preserve"> </v>
      </c>
      <c r="S37" s="162" t="str">
        <f t="shared" si="75"/>
        <v>X</v>
      </c>
      <c r="T37" s="162" t="str">
        <f t="shared" si="76"/>
        <v>X</v>
      </c>
      <c r="U37" s="162" t="str">
        <f t="shared" si="77"/>
        <v xml:space="preserve"> </v>
      </c>
      <c r="V37" s="172">
        <f t="shared" si="11"/>
        <v>5</v>
      </c>
      <c r="W37" s="185"/>
      <c r="X37" s="178" t="str">
        <f t="shared" si="78"/>
        <v>X</v>
      </c>
      <c r="Y37" s="162" t="str">
        <f t="shared" si="79"/>
        <v>X</v>
      </c>
      <c r="Z37" s="162" t="str">
        <f t="shared" si="80"/>
        <v xml:space="preserve"> </v>
      </c>
      <c r="AA37" s="162" t="str">
        <f t="shared" si="81"/>
        <v>X</v>
      </c>
      <c r="AB37" s="162" t="str">
        <f t="shared" si="82"/>
        <v>X</v>
      </c>
      <c r="AC37" s="162" t="str">
        <f t="shared" si="83"/>
        <v>X</v>
      </c>
      <c r="AD37" s="162" t="str">
        <f t="shared" si="84"/>
        <v xml:space="preserve"> </v>
      </c>
      <c r="AE37" s="162" t="str">
        <f t="shared" si="85"/>
        <v xml:space="preserve"> </v>
      </c>
      <c r="AF37" s="162" t="str">
        <f t="shared" si="86"/>
        <v>X</v>
      </c>
      <c r="AG37" s="162" t="str">
        <f t="shared" si="87"/>
        <v>X</v>
      </c>
      <c r="AH37" s="162" t="str">
        <f t="shared" si="88"/>
        <v xml:space="preserve"> </v>
      </c>
      <c r="AI37" s="172">
        <f t="shared" si="23"/>
        <v>7</v>
      </c>
      <c r="AJ37" s="185"/>
      <c r="AK37" s="160">
        <v>2771</v>
      </c>
      <c r="AL37" s="195" t="s">
        <v>15</v>
      </c>
      <c r="AM37" s="178" t="str">
        <f t="shared" si="89"/>
        <v xml:space="preserve"> </v>
      </c>
      <c r="AN37" s="162" t="str">
        <f t="shared" si="90"/>
        <v xml:space="preserve"> </v>
      </c>
      <c r="AO37" s="162" t="str">
        <f t="shared" si="91"/>
        <v>X</v>
      </c>
      <c r="AP37" s="162" t="str">
        <f t="shared" si="92"/>
        <v xml:space="preserve"> </v>
      </c>
      <c r="AQ37" s="162" t="str">
        <f t="shared" si="93"/>
        <v xml:space="preserve"> </v>
      </c>
      <c r="AR37" s="162" t="str">
        <f t="shared" si="94"/>
        <v xml:space="preserve"> </v>
      </c>
      <c r="AS37" s="162" t="str">
        <f t="shared" si="95"/>
        <v xml:space="preserve"> </v>
      </c>
      <c r="AT37" s="162" t="str">
        <f t="shared" si="96"/>
        <v xml:space="preserve"> </v>
      </c>
      <c r="AU37" s="162" t="str">
        <f t="shared" si="97"/>
        <v xml:space="preserve"> </v>
      </c>
      <c r="AV37" s="162" t="str">
        <f t="shared" si="98"/>
        <v xml:space="preserve"> </v>
      </c>
      <c r="AW37" s="162" t="str">
        <f t="shared" si="99"/>
        <v xml:space="preserve"> </v>
      </c>
      <c r="AX37" s="172">
        <f t="shared" si="35"/>
        <v>1</v>
      </c>
      <c r="AY37" s="185"/>
      <c r="AZ37" s="178" t="str">
        <f t="shared" si="100"/>
        <v>X</v>
      </c>
      <c r="BA37" s="162" t="str">
        <f t="shared" si="101"/>
        <v>X</v>
      </c>
      <c r="BB37" s="162" t="str">
        <f t="shared" si="102"/>
        <v xml:space="preserve"> </v>
      </c>
      <c r="BC37" s="162" t="str">
        <f t="shared" si="103"/>
        <v>X</v>
      </c>
      <c r="BD37" s="162" t="str">
        <f t="shared" si="104"/>
        <v>X</v>
      </c>
      <c r="BE37" s="162" t="str">
        <f t="shared" si="105"/>
        <v>X</v>
      </c>
      <c r="BF37" s="162" t="str">
        <f t="shared" si="106"/>
        <v xml:space="preserve"> </v>
      </c>
      <c r="BG37" s="162" t="str">
        <f t="shared" si="107"/>
        <v xml:space="preserve"> </v>
      </c>
      <c r="BH37" s="162" t="str">
        <f t="shared" si="108"/>
        <v>X</v>
      </c>
      <c r="BI37" s="162" t="str">
        <f t="shared" si="109"/>
        <v>X</v>
      </c>
      <c r="BJ37" s="162" t="str">
        <f t="shared" si="110"/>
        <v xml:space="preserve"> </v>
      </c>
      <c r="BK37" s="172">
        <f t="shared" si="47"/>
        <v>7</v>
      </c>
      <c r="BL37" s="185"/>
      <c r="BM37" s="160">
        <v>2771</v>
      </c>
      <c r="BN37" s="195" t="s">
        <v>15</v>
      </c>
      <c r="BO37" s="178" t="e">
        <f t="shared" si="111"/>
        <v>#REF!</v>
      </c>
      <c r="BP37" s="162" t="str">
        <f t="shared" si="112"/>
        <v>X</v>
      </c>
      <c r="BQ37" s="162" t="str">
        <f t="shared" si="113"/>
        <v xml:space="preserve"> </v>
      </c>
      <c r="BR37" s="162" t="str">
        <f t="shared" si="114"/>
        <v>X</v>
      </c>
      <c r="BS37" s="162" t="str">
        <f t="shared" si="115"/>
        <v>X</v>
      </c>
      <c r="BT37" s="162" t="str">
        <f t="shared" si="116"/>
        <v>X</v>
      </c>
      <c r="BU37" s="162" t="str">
        <f t="shared" si="117"/>
        <v xml:space="preserve"> </v>
      </c>
      <c r="BV37" s="162" t="str">
        <f t="shared" si="118"/>
        <v xml:space="preserve"> </v>
      </c>
      <c r="BW37" s="162" t="str">
        <f t="shared" si="119"/>
        <v>X</v>
      </c>
      <c r="BX37" s="162" t="str">
        <f t="shared" si="120"/>
        <v>X</v>
      </c>
      <c r="BY37" s="162" t="str">
        <f t="shared" si="121"/>
        <v xml:space="preserve"> </v>
      </c>
      <c r="BZ37" s="172">
        <f t="shared" si="59"/>
        <v>6</v>
      </c>
      <c r="CA37" s="189"/>
    </row>
    <row r="38" spans="1:79" ht="15.75" x14ac:dyDescent="0.25">
      <c r="A38" s="199">
        <f t="shared" si="60"/>
        <v>2832</v>
      </c>
      <c r="B38" s="199" t="str">
        <f t="shared" si="61"/>
        <v>NBAA</v>
      </c>
      <c r="C38" s="56">
        <f t="shared" si="62"/>
        <v>1</v>
      </c>
      <c r="D38" s="53">
        <f t="shared" si="63"/>
        <v>2</v>
      </c>
      <c r="E38" s="39">
        <f t="shared" si="64"/>
        <v>2</v>
      </c>
      <c r="F38" s="39">
        <f t="shared" si="65"/>
        <v>3</v>
      </c>
      <c r="G38" s="210" t="str">
        <f t="shared" si="66"/>
        <v xml:space="preserve"> </v>
      </c>
      <c r="I38" s="160">
        <v>2832</v>
      </c>
      <c r="J38" s="195" t="s">
        <v>15</v>
      </c>
      <c r="K38" s="162" t="str">
        <f t="shared" si="67"/>
        <v xml:space="preserve"> </v>
      </c>
      <c r="L38" s="162" t="str">
        <f t="shared" si="68"/>
        <v xml:space="preserve"> </v>
      </c>
      <c r="M38" s="162" t="str">
        <f t="shared" si="69"/>
        <v xml:space="preserve"> </v>
      </c>
      <c r="N38" s="162" t="str">
        <f t="shared" si="70"/>
        <v xml:space="preserve"> </v>
      </c>
      <c r="O38" s="162" t="str">
        <f t="shared" si="71"/>
        <v>X</v>
      </c>
      <c r="P38" s="162" t="str">
        <f t="shared" si="72"/>
        <v xml:space="preserve"> </v>
      </c>
      <c r="Q38" s="162" t="str">
        <f t="shared" si="73"/>
        <v xml:space="preserve"> </v>
      </c>
      <c r="R38" s="162" t="str">
        <f t="shared" si="74"/>
        <v xml:space="preserve"> </v>
      </c>
      <c r="S38" s="162" t="str">
        <f t="shared" si="75"/>
        <v xml:space="preserve"> </v>
      </c>
      <c r="T38" s="162" t="str">
        <f t="shared" si="76"/>
        <v xml:space="preserve"> </v>
      </c>
      <c r="U38" s="162" t="str">
        <f t="shared" si="77"/>
        <v xml:space="preserve"> </v>
      </c>
      <c r="V38" s="172">
        <f t="shared" si="11"/>
        <v>1</v>
      </c>
      <c r="W38" s="185"/>
      <c r="X38" s="178" t="str">
        <f t="shared" si="78"/>
        <v xml:space="preserve"> </v>
      </c>
      <c r="Y38" s="162" t="str">
        <f t="shared" si="79"/>
        <v xml:space="preserve"> </v>
      </c>
      <c r="Z38" s="162" t="str">
        <f t="shared" si="80"/>
        <v xml:space="preserve"> </v>
      </c>
      <c r="AA38" s="162" t="str">
        <f t="shared" si="81"/>
        <v xml:space="preserve"> </v>
      </c>
      <c r="AB38" s="162" t="str">
        <f t="shared" si="82"/>
        <v xml:space="preserve"> </v>
      </c>
      <c r="AC38" s="162" t="str">
        <f t="shared" si="83"/>
        <v xml:space="preserve"> </v>
      </c>
      <c r="AD38" s="162" t="str">
        <f t="shared" si="84"/>
        <v xml:space="preserve"> </v>
      </c>
      <c r="AE38" s="162" t="str">
        <f t="shared" si="85"/>
        <v xml:space="preserve"> </v>
      </c>
      <c r="AF38" s="162" t="str">
        <f t="shared" si="86"/>
        <v xml:space="preserve"> </v>
      </c>
      <c r="AG38" s="162" t="str">
        <f t="shared" si="87"/>
        <v>X</v>
      </c>
      <c r="AH38" s="162" t="str">
        <f t="shared" si="88"/>
        <v>X</v>
      </c>
      <c r="AI38" s="172">
        <f t="shared" si="23"/>
        <v>2</v>
      </c>
      <c r="AJ38" s="185"/>
      <c r="AK38" s="160">
        <v>2832</v>
      </c>
      <c r="AL38" s="195" t="s">
        <v>15</v>
      </c>
      <c r="AM38" s="178" t="str">
        <f t="shared" si="89"/>
        <v xml:space="preserve"> </v>
      </c>
      <c r="AN38" s="162" t="str">
        <f t="shared" si="90"/>
        <v xml:space="preserve"> </v>
      </c>
      <c r="AO38" s="162" t="str">
        <f t="shared" si="91"/>
        <v xml:space="preserve"> </v>
      </c>
      <c r="AP38" s="162" t="str">
        <f t="shared" si="92"/>
        <v xml:space="preserve"> </v>
      </c>
      <c r="AQ38" s="162" t="str">
        <f t="shared" si="93"/>
        <v xml:space="preserve"> </v>
      </c>
      <c r="AR38" s="162" t="str">
        <f t="shared" si="94"/>
        <v xml:space="preserve"> </v>
      </c>
      <c r="AS38" s="162" t="str">
        <f t="shared" si="95"/>
        <v xml:space="preserve"> </v>
      </c>
      <c r="AT38" s="162" t="str">
        <f t="shared" si="96"/>
        <v xml:space="preserve"> </v>
      </c>
      <c r="AU38" s="162" t="str">
        <f t="shared" si="97"/>
        <v xml:space="preserve"> </v>
      </c>
      <c r="AV38" s="162" t="str">
        <f t="shared" si="98"/>
        <v xml:space="preserve"> </v>
      </c>
      <c r="AW38" s="162" t="str">
        <f t="shared" si="99"/>
        <v xml:space="preserve"> </v>
      </c>
      <c r="AX38" s="172" t="str">
        <f t="shared" si="35"/>
        <v xml:space="preserve"> </v>
      </c>
      <c r="AY38" s="185"/>
      <c r="AZ38" s="178" t="str">
        <f t="shared" si="100"/>
        <v xml:space="preserve"> </v>
      </c>
      <c r="BA38" s="162" t="str">
        <f t="shared" si="101"/>
        <v xml:space="preserve"> </v>
      </c>
      <c r="BB38" s="162" t="str">
        <f t="shared" si="102"/>
        <v xml:space="preserve"> </v>
      </c>
      <c r="BC38" s="162" t="str">
        <f t="shared" si="103"/>
        <v xml:space="preserve"> </v>
      </c>
      <c r="BD38" s="162" t="str">
        <f t="shared" si="104"/>
        <v xml:space="preserve"> </v>
      </c>
      <c r="BE38" s="162" t="str">
        <f t="shared" si="105"/>
        <v xml:space="preserve"> </v>
      </c>
      <c r="BF38" s="162" t="str">
        <f t="shared" si="106"/>
        <v xml:space="preserve"> </v>
      </c>
      <c r="BG38" s="162" t="str">
        <f t="shared" si="107"/>
        <v xml:space="preserve"> </v>
      </c>
      <c r="BH38" s="162" t="str">
        <f t="shared" si="108"/>
        <v xml:space="preserve"> </v>
      </c>
      <c r="BI38" s="162" t="str">
        <f t="shared" si="109"/>
        <v>X</v>
      </c>
      <c r="BJ38" s="162" t="str">
        <f t="shared" si="110"/>
        <v>X</v>
      </c>
      <c r="BK38" s="172">
        <f t="shared" si="47"/>
        <v>2</v>
      </c>
      <c r="BL38" s="185"/>
      <c r="BM38" s="160">
        <v>2832</v>
      </c>
      <c r="BN38" s="195" t="s">
        <v>15</v>
      </c>
      <c r="BO38" s="178" t="e">
        <f t="shared" si="111"/>
        <v>#REF!</v>
      </c>
      <c r="BP38" s="162" t="str">
        <f t="shared" si="112"/>
        <v xml:space="preserve"> </v>
      </c>
      <c r="BQ38" s="162" t="str">
        <f t="shared" si="113"/>
        <v xml:space="preserve"> </v>
      </c>
      <c r="BR38" s="162" t="str">
        <f t="shared" si="114"/>
        <v xml:space="preserve"> </v>
      </c>
      <c r="BS38" s="162" t="str">
        <f t="shared" si="115"/>
        <v xml:space="preserve"> </v>
      </c>
      <c r="BT38" s="162" t="str">
        <f t="shared" si="116"/>
        <v xml:space="preserve"> </v>
      </c>
      <c r="BU38" s="162" t="str">
        <f t="shared" si="117"/>
        <v xml:space="preserve"> </v>
      </c>
      <c r="BV38" s="162" t="str">
        <f t="shared" si="118"/>
        <v xml:space="preserve"> </v>
      </c>
      <c r="BW38" s="162" t="str">
        <f t="shared" si="119"/>
        <v>X</v>
      </c>
      <c r="BX38" s="162" t="str">
        <f t="shared" si="120"/>
        <v>X</v>
      </c>
      <c r="BY38" s="162" t="str">
        <f t="shared" si="121"/>
        <v>X</v>
      </c>
      <c r="BZ38" s="172">
        <f t="shared" si="59"/>
        <v>3</v>
      </c>
      <c r="CA38" s="189"/>
    </row>
    <row r="39" spans="1:79" ht="15.75" x14ac:dyDescent="0.25">
      <c r="A39" s="199">
        <f t="shared" si="60"/>
        <v>2892</v>
      </c>
      <c r="B39" s="199" t="str">
        <f t="shared" si="61"/>
        <v>NBAA</v>
      </c>
      <c r="C39" s="56" t="str">
        <f t="shared" si="62"/>
        <v xml:space="preserve"> </v>
      </c>
      <c r="D39" s="53" t="str">
        <f t="shared" si="63"/>
        <v xml:space="preserve"> </v>
      </c>
      <c r="E39" s="39" t="str">
        <f t="shared" si="64"/>
        <v xml:space="preserve"> </v>
      </c>
      <c r="F39" s="39" t="str">
        <f t="shared" si="65"/>
        <v xml:space="preserve"> </v>
      </c>
      <c r="G39" s="210" t="str">
        <f t="shared" si="66"/>
        <v xml:space="preserve"> </v>
      </c>
      <c r="I39" s="160">
        <v>2892</v>
      </c>
      <c r="J39" s="195" t="s">
        <v>15</v>
      </c>
      <c r="K39" s="162" t="str">
        <f t="shared" si="67"/>
        <v xml:space="preserve"> </v>
      </c>
      <c r="L39" s="162" t="str">
        <f t="shared" si="68"/>
        <v xml:space="preserve"> </v>
      </c>
      <c r="M39" s="162" t="str">
        <f t="shared" si="69"/>
        <v xml:space="preserve"> </v>
      </c>
      <c r="N39" s="162" t="str">
        <f t="shared" si="70"/>
        <v xml:space="preserve"> </v>
      </c>
      <c r="O39" s="162" t="str">
        <f t="shared" si="71"/>
        <v xml:space="preserve"> </v>
      </c>
      <c r="P39" s="162" t="str">
        <f t="shared" si="72"/>
        <v xml:space="preserve"> </v>
      </c>
      <c r="Q39" s="162" t="str">
        <f t="shared" si="73"/>
        <v xml:space="preserve"> </v>
      </c>
      <c r="R39" s="162" t="str">
        <f t="shared" si="74"/>
        <v xml:space="preserve"> </v>
      </c>
      <c r="S39" s="162" t="str">
        <f t="shared" si="75"/>
        <v xml:space="preserve"> </v>
      </c>
      <c r="T39" s="162" t="str">
        <f t="shared" si="76"/>
        <v xml:space="preserve"> </v>
      </c>
      <c r="U39" s="162" t="str">
        <f t="shared" si="77"/>
        <v xml:space="preserve"> </v>
      </c>
      <c r="V39" s="172" t="str">
        <f t="shared" ref="V39:V68" si="122">IF(COUNTIF(K39:U39,"x")=0," ",COUNTIF(K39:U39,"x"))</f>
        <v xml:space="preserve"> </v>
      </c>
      <c r="W39" s="185"/>
      <c r="X39" s="178" t="str">
        <f t="shared" si="78"/>
        <v xml:space="preserve"> </v>
      </c>
      <c r="Y39" s="162" t="str">
        <f t="shared" si="79"/>
        <v xml:space="preserve"> </v>
      </c>
      <c r="Z39" s="162" t="str">
        <f t="shared" si="80"/>
        <v xml:space="preserve"> </v>
      </c>
      <c r="AA39" s="162" t="str">
        <f t="shared" si="81"/>
        <v xml:space="preserve"> </v>
      </c>
      <c r="AB39" s="162" t="str">
        <f t="shared" si="82"/>
        <v xml:space="preserve"> </v>
      </c>
      <c r="AC39" s="162" t="str">
        <f t="shared" si="83"/>
        <v xml:space="preserve"> </v>
      </c>
      <c r="AD39" s="162" t="str">
        <f t="shared" si="84"/>
        <v xml:space="preserve"> </v>
      </c>
      <c r="AE39" s="162" t="str">
        <f t="shared" si="85"/>
        <v xml:space="preserve"> </v>
      </c>
      <c r="AF39" s="162" t="str">
        <f t="shared" si="86"/>
        <v xml:space="preserve"> </v>
      </c>
      <c r="AG39" s="162" t="str">
        <f t="shared" si="87"/>
        <v xml:space="preserve"> </v>
      </c>
      <c r="AH39" s="162" t="str">
        <f t="shared" si="88"/>
        <v xml:space="preserve"> </v>
      </c>
      <c r="AI39" s="172" t="str">
        <f t="shared" ref="AI39:AI68" si="123">IF(COUNTIF(X39:AH39,"x")=0," ",COUNTIF(X39:AH39,"x"))</f>
        <v xml:space="preserve"> </v>
      </c>
      <c r="AJ39" s="185"/>
      <c r="AK39" s="160">
        <v>2892</v>
      </c>
      <c r="AL39" s="195" t="s">
        <v>15</v>
      </c>
      <c r="AM39" s="178" t="str">
        <f t="shared" si="89"/>
        <v xml:space="preserve"> </v>
      </c>
      <c r="AN39" s="162" t="str">
        <f t="shared" si="90"/>
        <v xml:space="preserve"> </v>
      </c>
      <c r="AO39" s="162" t="str">
        <f t="shared" si="91"/>
        <v xml:space="preserve"> </v>
      </c>
      <c r="AP39" s="162" t="str">
        <f t="shared" si="92"/>
        <v xml:space="preserve"> </v>
      </c>
      <c r="AQ39" s="162" t="str">
        <f t="shared" si="93"/>
        <v xml:space="preserve"> </v>
      </c>
      <c r="AR39" s="162" t="str">
        <f t="shared" si="94"/>
        <v xml:space="preserve"> </v>
      </c>
      <c r="AS39" s="162" t="str">
        <f t="shared" si="95"/>
        <v xml:space="preserve"> </v>
      </c>
      <c r="AT39" s="162" t="str">
        <f t="shared" si="96"/>
        <v xml:space="preserve"> </v>
      </c>
      <c r="AU39" s="162" t="str">
        <f t="shared" si="97"/>
        <v xml:space="preserve"> </v>
      </c>
      <c r="AV39" s="162" t="str">
        <f t="shared" si="98"/>
        <v xml:space="preserve"> </v>
      </c>
      <c r="AW39" s="162" t="str">
        <f t="shared" si="99"/>
        <v xml:space="preserve"> </v>
      </c>
      <c r="AX39" s="172" t="str">
        <f t="shared" ref="AX39:AX68" si="124">IF(COUNTIF(AM39:AW39,"x")=0," ",COUNTIF(AM39:AW39,"x"))</f>
        <v xml:space="preserve"> </v>
      </c>
      <c r="AY39" s="185"/>
      <c r="AZ39" s="178" t="str">
        <f t="shared" si="100"/>
        <v xml:space="preserve"> </v>
      </c>
      <c r="BA39" s="162" t="str">
        <f t="shared" si="101"/>
        <v xml:space="preserve"> </v>
      </c>
      <c r="BB39" s="162" t="str">
        <f t="shared" si="102"/>
        <v xml:space="preserve"> </v>
      </c>
      <c r="BC39" s="162" t="str">
        <f t="shared" si="103"/>
        <v xml:space="preserve"> </v>
      </c>
      <c r="BD39" s="162" t="str">
        <f t="shared" si="104"/>
        <v xml:space="preserve"> </v>
      </c>
      <c r="BE39" s="162" t="str">
        <f t="shared" si="105"/>
        <v xml:space="preserve"> </v>
      </c>
      <c r="BF39" s="162" t="str">
        <f t="shared" si="106"/>
        <v xml:space="preserve"> </v>
      </c>
      <c r="BG39" s="162" t="str">
        <f t="shared" si="107"/>
        <v xml:space="preserve"> </v>
      </c>
      <c r="BH39" s="162" t="str">
        <f t="shared" si="108"/>
        <v xml:space="preserve"> </v>
      </c>
      <c r="BI39" s="162" t="str">
        <f t="shared" si="109"/>
        <v xml:space="preserve"> </v>
      </c>
      <c r="BJ39" s="162" t="str">
        <f t="shared" si="110"/>
        <v xml:space="preserve"> </v>
      </c>
      <c r="BK39" s="172" t="str">
        <f t="shared" ref="BK39:BK68" si="125">IF(COUNTIF(AZ39:BJ39,"x")=0," ",COUNTIF(AZ39:BJ39,"x"))</f>
        <v xml:space="preserve"> </v>
      </c>
      <c r="BL39" s="185"/>
      <c r="BM39" s="160">
        <v>2892</v>
      </c>
      <c r="BN39" s="195" t="s">
        <v>15</v>
      </c>
      <c r="BO39" s="178" t="e">
        <f t="shared" si="111"/>
        <v>#REF!</v>
      </c>
      <c r="BP39" s="162" t="str">
        <f t="shared" si="112"/>
        <v xml:space="preserve"> </v>
      </c>
      <c r="BQ39" s="162" t="str">
        <f t="shared" si="113"/>
        <v xml:space="preserve"> </v>
      </c>
      <c r="BR39" s="162" t="str">
        <f t="shared" si="114"/>
        <v xml:space="preserve"> </v>
      </c>
      <c r="BS39" s="162" t="str">
        <f t="shared" si="115"/>
        <v xml:space="preserve"> </v>
      </c>
      <c r="BT39" s="162" t="str">
        <f t="shared" si="116"/>
        <v xml:space="preserve"> </v>
      </c>
      <c r="BU39" s="162" t="str">
        <f t="shared" si="117"/>
        <v xml:space="preserve"> </v>
      </c>
      <c r="BV39" s="162" t="str">
        <f t="shared" si="118"/>
        <v xml:space="preserve"> </v>
      </c>
      <c r="BW39" s="162" t="str">
        <f t="shared" si="119"/>
        <v xml:space="preserve"> </v>
      </c>
      <c r="BX39" s="162" t="str">
        <f t="shared" si="120"/>
        <v xml:space="preserve"> </v>
      </c>
      <c r="BY39" s="162" t="str">
        <f t="shared" si="121"/>
        <v xml:space="preserve"> </v>
      </c>
      <c r="BZ39" s="172" t="str">
        <f t="shared" ref="BZ39:BZ68" si="126">IF(COUNTIF(BO39:BY39,"x")=0," ",COUNTIF(BO39:BY39,"x"))</f>
        <v xml:space="preserve"> </v>
      </c>
      <c r="CA39" s="189"/>
    </row>
    <row r="40" spans="1:79" ht="15.75" x14ac:dyDescent="0.25">
      <c r="A40" s="199">
        <f t="shared" si="60"/>
        <v>3015</v>
      </c>
      <c r="B40" s="199" t="str">
        <f t="shared" si="61"/>
        <v>NBAA</v>
      </c>
      <c r="C40" s="56" t="str">
        <f t="shared" si="62"/>
        <v xml:space="preserve"> </v>
      </c>
      <c r="D40" s="53">
        <f t="shared" si="63"/>
        <v>2</v>
      </c>
      <c r="E40" s="39">
        <f t="shared" si="64"/>
        <v>3</v>
      </c>
      <c r="F40" s="39">
        <f t="shared" si="65"/>
        <v>2</v>
      </c>
      <c r="G40" s="210" t="str">
        <f t="shared" si="66"/>
        <v xml:space="preserve"> </v>
      </c>
      <c r="I40" s="160">
        <v>3015</v>
      </c>
      <c r="J40" s="195" t="s">
        <v>15</v>
      </c>
      <c r="K40" s="162" t="str">
        <f t="shared" si="67"/>
        <v xml:space="preserve"> </v>
      </c>
      <c r="L40" s="162" t="str">
        <f t="shared" si="68"/>
        <v xml:space="preserve"> </v>
      </c>
      <c r="M40" s="162" t="str">
        <f t="shared" si="69"/>
        <v xml:space="preserve"> </v>
      </c>
      <c r="N40" s="162" t="str">
        <f t="shared" si="70"/>
        <v xml:space="preserve"> </v>
      </c>
      <c r="O40" s="162" t="str">
        <f t="shared" si="71"/>
        <v xml:space="preserve"> </v>
      </c>
      <c r="P40" s="162" t="str">
        <f t="shared" si="72"/>
        <v xml:space="preserve"> </v>
      </c>
      <c r="Q40" s="162" t="str">
        <f t="shared" si="73"/>
        <v xml:space="preserve"> </v>
      </c>
      <c r="R40" s="162" t="str">
        <f t="shared" si="74"/>
        <v xml:space="preserve"> </v>
      </c>
      <c r="S40" s="162" t="str">
        <f t="shared" si="75"/>
        <v xml:space="preserve"> </v>
      </c>
      <c r="T40" s="162" t="str">
        <f t="shared" si="76"/>
        <v xml:space="preserve"> </v>
      </c>
      <c r="U40" s="162" t="str">
        <f t="shared" si="77"/>
        <v xml:space="preserve"> </v>
      </c>
      <c r="V40" s="172" t="str">
        <f t="shared" si="122"/>
        <v xml:space="preserve"> </v>
      </c>
      <c r="W40" s="185"/>
      <c r="X40" s="178" t="str">
        <f t="shared" si="78"/>
        <v xml:space="preserve"> </v>
      </c>
      <c r="Y40" s="162" t="str">
        <f t="shared" si="79"/>
        <v xml:space="preserve"> </v>
      </c>
      <c r="Z40" s="162" t="str">
        <f t="shared" si="80"/>
        <v xml:space="preserve"> </v>
      </c>
      <c r="AA40" s="162" t="str">
        <f t="shared" si="81"/>
        <v xml:space="preserve"> </v>
      </c>
      <c r="AB40" s="162" t="str">
        <f t="shared" si="82"/>
        <v>X</v>
      </c>
      <c r="AC40" s="162" t="str">
        <f t="shared" si="83"/>
        <v xml:space="preserve"> </v>
      </c>
      <c r="AD40" s="162" t="str">
        <f t="shared" si="84"/>
        <v xml:space="preserve"> </v>
      </c>
      <c r="AE40" s="162" t="str">
        <f t="shared" si="85"/>
        <v xml:space="preserve"> </v>
      </c>
      <c r="AF40" s="162" t="str">
        <f t="shared" si="86"/>
        <v xml:space="preserve"> </v>
      </c>
      <c r="AG40" s="162" t="str">
        <f t="shared" si="87"/>
        <v xml:space="preserve"> </v>
      </c>
      <c r="AH40" s="162" t="str">
        <f t="shared" si="88"/>
        <v>X</v>
      </c>
      <c r="AI40" s="172">
        <f t="shared" si="123"/>
        <v>2</v>
      </c>
      <c r="AJ40" s="185"/>
      <c r="AK40" s="160">
        <v>3015</v>
      </c>
      <c r="AL40" s="195" t="s">
        <v>15</v>
      </c>
      <c r="AM40" s="178" t="str">
        <f t="shared" si="89"/>
        <v xml:space="preserve"> </v>
      </c>
      <c r="AN40" s="162" t="str">
        <f t="shared" si="90"/>
        <v xml:space="preserve"> </v>
      </c>
      <c r="AO40" s="162" t="str">
        <f t="shared" si="91"/>
        <v xml:space="preserve"> </v>
      </c>
      <c r="AP40" s="162" t="str">
        <f t="shared" si="92"/>
        <v xml:space="preserve"> </v>
      </c>
      <c r="AQ40" s="162" t="str">
        <f t="shared" si="93"/>
        <v xml:space="preserve"> </v>
      </c>
      <c r="AR40" s="162" t="str">
        <f t="shared" si="94"/>
        <v xml:space="preserve"> </v>
      </c>
      <c r="AS40" s="162" t="str">
        <f t="shared" si="95"/>
        <v xml:space="preserve"> </v>
      </c>
      <c r="AT40" s="162" t="str">
        <f t="shared" si="96"/>
        <v xml:space="preserve"> </v>
      </c>
      <c r="AU40" s="162" t="str">
        <f t="shared" si="97"/>
        <v xml:space="preserve"> </v>
      </c>
      <c r="AV40" s="162" t="str">
        <f t="shared" si="98"/>
        <v xml:space="preserve"> </v>
      </c>
      <c r="AW40" s="162" t="str">
        <f t="shared" si="99"/>
        <v xml:space="preserve"> </v>
      </c>
      <c r="AX40" s="172" t="str">
        <f t="shared" si="124"/>
        <v xml:space="preserve"> </v>
      </c>
      <c r="AY40" s="185"/>
      <c r="AZ40" s="178" t="str">
        <f t="shared" si="100"/>
        <v xml:space="preserve"> </v>
      </c>
      <c r="BA40" s="162" t="str">
        <f t="shared" si="101"/>
        <v xml:space="preserve"> </v>
      </c>
      <c r="BB40" s="162" t="str">
        <f t="shared" si="102"/>
        <v xml:space="preserve"> </v>
      </c>
      <c r="BC40" s="162" t="str">
        <f t="shared" si="103"/>
        <v xml:space="preserve"> </v>
      </c>
      <c r="BD40" s="162" t="str">
        <f t="shared" si="104"/>
        <v>X</v>
      </c>
      <c r="BE40" s="162" t="str">
        <f t="shared" si="105"/>
        <v xml:space="preserve"> </v>
      </c>
      <c r="BF40" s="162" t="str">
        <f t="shared" si="106"/>
        <v xml:space="preserve"> </v>
      </c>
      <c r="BG40" s="162" t="str">
        <f t="shared" si="107"/>
        <v xml:space="preserve"> </v>
      </c>
      <c r="BH40" s="162" t="str">
        <f t="shared" si="108"/>
        <v xml:space="preserve"> </v>
      </c>
      <c r="BI40" s="162" t="str">
        <f t="shared" si="109"/>
        <v>X</v>
      </c>
      <c r="BJ40" s="162" t="str">
        <f t="shared" si="110"/>
        <v>X</v>
      </c>
      <c r="BK40" s="172">
        <f t="shared" si="125"/>
        <v>3</v>
      </c>
      <c r="BL40" s="185"/>
      <c r="BM40" s="160">
        <v>3015</v>
      </c>
      <c r="BN40" s="195" t="s">
        <v>15</v>
      </c>
      <c r="BO40" s="178" t="e">
        <f t="shared" si="111"/>
        <v>#REF!</v>
      </c>
      <c r="BP40" s="162" t="str">
        <f t="shared" si="112"/>
        <v xml:space="preserve"> </v>
      </c>
      <c r="BQ40" s="162" t="str">
        <f t="shared" si="113"/>
        <v xml:space="preserve"> </v>
      </c>
      <c r="BR40" s="162" t="str">
        <f t="shared" si="114"/>
        <v xml:space="preserve"> </v>
      </c>
      <c r="BS40" s="162" t="str">
        <f t="shared" si="115"/>
        <v>X</v>
      </c>
      <c r="BT40" s="162" t="str">
        <f t="shared" si="116"/>
        <v xml:space="preserve"> </v>
      </c>
      <c r="BU40" s="162" t="str">
        <f t="shared" si="117"/>
        <v xml:space="preserve"> </v>
      </c>
      <c r="BV40" s="162" t="str">
        <f t="shared" si="118"/>
        <v xml:space="preserve"> </v>
      </c>
      <c r="BW40" s="162" t="str">
        <f t="shared" si="119"/>
        <v xml:space="preserve"> </v>
      </c>
      <c r="BX40" s="162" t="str">
        <f t="shared" si="120"/>
        <v xml:space="preserve"> </v>
      </c>
      <c r="BY40" s="162" t="str">
        <f t="shared" si="121"/>
        <v>X</v>
      </c>
      <c r="BZ40" s="172">
        <f t="shared" si="126"/>
        <v>2</v>
      </c>
      <c r="CA40" s="189"/>
    </row>
    <row r="41" spans="1:79" ht="15.75" x14ac:dyDescent="0.25">
      <c r="A41" s="199">
        <f t="shared" si="60"/>
        <v>4303</v>
      </c>
      <c r="B41" s="199" t="str">
        <f t="shared" si="61"/>
        <v>NBAA</v>
      </c>
      <c r="C41" s="56" t="str">
        <f t="shared" si="62"/>
        <v xml:space="preserve"> </v>
      </c>
      <c r="D41" s="53" t="str">
        <f t="shared" si="63"/>
        <v xml:space="preserve"> </v>
      </c>
      <c r="E41" s="39" t="str">
        <f t="shared" si="64"/>
        <v xml:space="preserve"> </v>
      </c>
      <c r="F41" s="39">
        <f t="shared" si="65"/>
        <v>4</v>
      </c>
      <c r="G41" s="210" t="str">
        <f t="shared" si="66"/>
        <v xml:space="preserve"> </v>
      </c>
      <c r="I41" s="160">
        <v>4303</v>
      </c>
      <c r="J41" s="195" t="s">
        <v>15</v>
      </c>
      <c r="K41" s="162" t="str">
        <f t="shared" si="67"/>
        <v xml:space="preserve"> </v>
      </c>
      <c r="L41" s="162" t="str">
        <f t="shared" si="68"/>
        <v xml:space="preserve"> </v>
      </c>
      <c r="M41" s="162" t="str">
        <f t="shared" si="69"/>
        <v xml:space="preserve"> </v>
      </c>
      <c r="N41" s="162" t="str">
        <f t="shared" si="70"/>
        <v xml:space="preserve"> </v>
      </c>
      <c r="O41" s="162" t="str">
        <f t="shared" si="71"/>
        <v xml:space="preserve"> </v>
      </c>
      <c r="P41" s="162" t="str">
        <f t="shared" si="72"/>
        <v xml:space="preserve"> </v>
      </c>
      <c r="Q41" s="162" t="str">
        <f t="shared" si="73"/>
        <v xml:space="preserve"> </v>
      </c>
      <c r="R41" s="162" t="str">
        <f t="shared" si="74"/>
        <v xml:space="preserve"> </v>
      </c>
      <c r="S41" s="162" t="str">
        <f t="shared" si="75"/>
        <v xml:space="preserve"> </v>
      </c>
      <c r="T41" s="162" t="str">
        <f t="shared" si="76"/>
        <v xml:space="preserve"> </v>
      </c>
      <c r="U41" s="162" t="str">
        <f t="shared" si="77"/>
        <v xml:space="preserve"> </v>
      </c>
      <c r="V41" s="172" t="str">
        <f t="shared" si="122"/>
        <v xml:space="preserve"> </v>
      </c>
      <c r="W41" s="185"/>
      <c r="X41" s="178" t="str">
        <f t="shared" si="78"/>
        <v xml:space="preserve"> </v>
      </c>
      <c r="Y41" s="162" t="str">
        <f t="shared" si="79"/>
        <v xml:space="preserve"> </v>
      </c>
      <c r="Z41" s="162" t="str">
        <f t="shared" si="80"/>
        <v xml:space="preserve"> </v>
      </c>
      <c r="AA41" s="162" t="str">
        <f t="shared" si="81"/>
        <v xml:space="preserve"> </v>
      </c>
      <c r="AB41" s="162" t="str">
        <f t="shared" si="82"/>
        <v xml:space="preserve"> </v>
      </c>
      <c r="AC41" s="162" t="str">
        <f t="shared" si="83"/>
        <v xml:space="preserve"> </v>
      </c>
      <c r="AD41" s="162" t="str">
        <f t="shared" si="84"/>
        <v xml:space="preserve"> </v>
      </c>
      <c r="AE41" s="162" t="str">
        <f t="shared" si="85"/>
        <v xml:space="preserve"> </v>
      </c>
      <c r="AF41" s="162" t="str">
        <f t="shared" si="86"/>
        <v xml:space="preserve"> </v>
      </c>
      <c r="AG41" s="162" t="str">
        <f t="shared" si="87"/>
        <v xml:space="preserve"> </v>
      </c>
      <c r="AH41" s="162" t="str">
        <f t="shared" si="88"/>
        <v xml:space="preserve"> </v>
      </c>
      <c r="AI41" s="172" t="str">
        <f t="shared" si="123"/>
        <v xml:space="preserve"> </v>
      </c>
      <c r="AJ41" s="185"/>
      <c r="AK41" s="160">
        <v>4303</v>
      </c>
      <c r="AL41" s="195" t="s">
        <v>15</v>
      </c>
      <c r="AM41" s="178" t="str">
        <f t="shared" si="89"/>
        <v xml:space="preserve"> </v>
      </c>
      <c r="AN41" s="162" t="str">
        <f t="shared" si="90"/>
        <v xml:space="preserve"> </v>
      </c>
      <c r="AO41" s="162" t="str">
        <f t="shared" si="91"/>
        <v xml:space="preserve"> </v>
      </c>
      <c r="AP41" s="162" t="str">
        <f t="shared" si="92"/>
        <v xml:space="preserve"> </v>
      </c>
      <c r="AQ41" s="162" t="str">
        <f t="shared" si="93"/>
        <v xml:space="preserve"> </v>
      </c>
      <c r="AR41" s="162" t="str">
        <f t="shared" si="94"/>
        <v xml:space="preserve"> </v>
      </c>
      <c r="AS41" s="162" t="str">
        <f t="shared" si="95"/>
        <v xml:space="preserve"> </v>
      </c>
      <c r="AT41" s="162" t="str">
        <f t="shared" si="96"/>
        <v xml:space="preserve"> </v>
      </c>
      <c r="AU41" s="162" t="str">
        <f t="shared" si="97"/>
        <v xml:space="preserve"> </v>
      </c>
      <c r="AV41" s="162" t="str">
        <f t="shared" si="98"/>
        <v xml:space="preserve"> </v>
      </c>
      <c r="AW41" s="162" t="str">
        <f t="shared" si="99"/>
        <v xml:space="preserve"> </v>
      </c>
      <c r="AX41" s="172" t="str">
        <f t="shared" si="124"/>
        <v xml:space="preserve"> </v>
      </c>
      <c r="AY41" s="185"/>
      <c r="AZ41" s="178" t="str">
        <f t="shared" si="100"/>
        <v xml:space="preserve"> </v>
      </c>
      <c r="BA41" s="162" t="str">
        <f t="shared" si="101"/>
        <v xml:space="preserve"> </v>
      </c>
      <c r="BB41" s="162" t="str">
        <f t="shared" si="102"/>
        <v xml:space="preserve"> </v>
      </c>
      <c r="BC41" s="162" t="str">
        <f t="shared" si="103"/>
        <v xml:space="preserve"> </v>
      </c>
      <c r="BD41" s="162" t="str">
        <f t="shared" si="104"/>
        <v xml:space="preserve"> </v>
      </c>
      <c r="BE41" s="162" t="str">
        <f t="shared" si="105"/>
        <v xml:space="preserve"> </v>
      </c>
      <c r="BF41" s="162" t="str">
        <f t="shared" si="106"/>
        <v xml:space="preserve"> </v>
      </c>
      <c r="BG41" s="162" t="str">
        <f t="shared" si="107"/>
        <v xml:space="preserve"> </v>
      </c>
      <c r="BH41" s="162" t="str">
        <f t="shared" si="108"/>
        <v xml:space="preserve"> </v>
      </c>
      <c r="BI41" s="162" t="str">
        <f t="shared" si="109"/>
        <v xml:space="preserve"> </v>
      </c>
      <c r="BJ41" s="162" t="str">
        <f t="shared" si="110"/>
        <v xml:space="preserve"> </v>
      </c>
      <c r="BK41" s="172" t="str">
        <f t="shared" si="125"/>
        <v xml:space="preserve"> </v>
      </c>
      <c r="BL41" s="185"/>
      <c r="BM41" s="160">
        <v>4303</v>
      </c>
      <c r="BN41" s="195" t="s">
        <v>15</v>
      </c>
      <c r="BO41" s="178" t="e">
        <f t="shared" si="111"/>
        <v>#REF!</v>
      </c>
      <c r="BP41" s="162" t="str">
        <f t="shared" si="112"/>
        <v>X</v>
      </c>
      <c r="BQ41" s="162" t="str">
        <f t="shared" si="113"/>
        <v>X</v>
      </c>
      <c r="BR41" s="162" t="str">
        <f t="shared" si="114"/>
        <v>X</v>
      </c>
      <c r="BS41" s="162" t="str">
        <f t="shared" si="115"/>
        <v xml:space="preserve"> </v>
      </c>
      <c r="BT41" s="162" t="str">
        <f t="shared" si="116"/>
        <v>X</v>
      </c>
      <c r="BU41" s="162" t="str">
        <f t="shared" si="117"/>
        <v xml:space="preserve"> </v>
      </c>
      <c r="BV41" s="162" t="str">
        <f t="shared" si="118"/>
        <v xml:space="preserve"> </v>
      </c>
      <c r="BW41" s="162" t="str">
        <f t="shared" si="119"/>
        <v xml:space="preserve"> </v>
      </c>
      <c r="BX41" s="162" t="str">
        <f t="shared" si="120"/>
        <v xml:space="preserve"> </v>
      </c>
      <c r="BY41" s="162" t="str">
        <f t="shared" si="121"/>
        <v xml:space="preserve"> </v>
      </c>
      <c r="BZ41" s="172">
        <f t="shared" si="126"/>
        <v>4</v>
      </c>
      <c r="CA41" s="189"/>
    </row>
    <row r="42" spans="1:79" ht="15.75" x14ac:dyDescent="0.25">
      <c r="A42" s="199">
        <f t="shared" si="60"/>
        <v>4438</v>
      </c>
      <c r="B42" s="199" t="str">
        <f t="shared" si="61"/>
        <v>NBAA</v>
      </c>
      <c r="C42" s="56">
        <f t="shared" si="62"/>
        <v>3</v>
      </c>
      <c r="D42" s="53" t="str">
        <f t="shared" si="63"/>
        <v xml:space="preserve"> </v>
      </c>
      <c r="E42" s="39">
        <f t="shared" si="64"/>
        <v>1</v>
      </c>
      <c r="F42" s="39" t="str">
        <f t="shared" si="65"/>
        <v xml:space="preserve"> </v>
      </c>
      <c r="G42" s="210">
        <f t="shared" si="66"/>
        <v>2</v>
      </c>
      <c r="I42" s="160">
        <v>4438</v>
      </c>
      <c r="J42" s="195" t="s">
        <v>15</v>
      </c>
      <c r="K42" s="162" t="str">
        <f t="shared" si="67"/>
        <v xml:space="preserve"> </v>
      </c>
      <c r="L42" s="162" t="str">
        <f t="shared" si="68"/>
        <v xml:space="preserve"> </v>
      </c>
      <c r="M42" s="162" t="str">
        <f t="shared" si="69"/>
        <v xml:space="preserve"> </v>
      </c>
      <c r="N42" s="162" t="str">
        <f t="shared" si="70"/>
        <v>X</v>
      </c>
      <c r="O42" s="162" t="str">
        <f t="shared" si="71"/>
        <v xml:space="preserve"> </v>
      </c>
      <c r="P42" s="162" t="str">
        <f t="shared" si="72"/>
        <v>X</v>
      </c>
      <c r="Q42" s="162" t="str">
        <f t="shared" si="73"/>
        <v xml:space="preserve"> </v>
      </c>
      <c r="R42" s="162" t="str">
        <f t="shared" si="74"/>
        <v xml:space="preserve"> </v>
      </c>
      <c r="S42" s="162" t="str">
        <f t="shared" si="75"/>
        <v>X</v>
      </c>
      <c r="T42" s="162" t="str">
        <f t="shared" si="76"/>
        <v xml:space="preserve"> </v>
      </c>
      <c r="U42" s="162" t="str">
        <f t="shared" si="77"/>
        <v xml:space="preserve"> </v>
      </c>
      <c r="V42" s="172">
        <f t="shared" si="122"/>
        <v>3</v>
      </c>
      <c r="W42" s="185"/>
      <c r="X42" s="178" t="str">
        <f t="shared" si="78"/>
        <v xml:space="preserve"> </v>
      </c>
      <c r="Y42" s="162" t="str">
        <f t="shared" si="79"/>
        <v xml:space="preserve"> </v>
      </c>
      <c r="Z42" s="162" t="str">
        <f t="shared" si="80"/>
        <v xml:space="preserve"> </v>
      </c>
      <c r="AA42" s="162" t="str">
        <f t="shared" si="81"/>
        <v xml:space="preserve"> </v>
      </c>
      <c r="AB42" s="162" t="str">
        <f t="shared" si="82"/>
        <v xml:space="preserve"> </v>
      </c>
      <c r="AC42" s="162" t="str">
        <f t="shared" si="83"/>
        <v xml:space="preserve"> </v>
      </c>
      <c r="AD42" s="162" t="str">
        <f t="shared" si="84"/>
        <v xml:space="preserve"> </v>
      </c>
      <c r="AE42" s="162" t="str">
        <f t="shared" si="85"/>
        <v xml:space="preserve"> </v>
      </c>
      <c r="AF42" s="162" t="str">
        <f t="shared" si="86"/>
        <v xml:space="preserve"> </v>
      </c>
      <c r="AG42" s="162" t="str">
        <f t="shared" si="87"/>
        <v xml:space="preserve"> </v>
      </c>
      <c r="AH42" s="162" t="str">
        <f t="shared" si="88"/>
        <v xml:space="preserve"> </v>
      </c>
      <c r="AI42" s="172" t="str">
        <f t="shared" si="123"/>
        <v xml:space="preserve"> </v>
      </c>
      <c r="AJ42" s="185"/>
      <c r="AK42" s="160">
        <v>4438</v>
      </c>
      <c r="AL42" s="195" t="s">
        <v>15</v>
      </c>
      <c r="AM42" s="178" t="str">
        <f t="shared" si="89"/>
        <v xml:space="preserve"> </v>
      </c>
      <c r="AN42" s="162" t="str">
        <f t="shared" si="90"/>
        <v>X</v>
      </c>
      <c r="AO42" s="162" t="str">
        <f t="shared" si="91"/>
        <v>X</v>
      </c>
      <c r="AP42" s="162" t="str">
        <f t="shared" si="92"/>
        <v xml:space="preserve"> </v>
      </c>
      <c r="AQ42" s="162" t="str">
        <f t="shared" si="93"/>
        <v xml:space="preserve"> </v>
      </c>
      <c r="AR42" s="162" t="str">
        <f t="shared" si="94"/>
        <v xml:space="preserve"> </v>
      </c>
      <c r="AS42" s="162" t="str">
        <f t="shared" si="95"/>
        <v xml:space="preserve"> </v>
      </c>
      <c r="AT42" s="162" t="str">
        <f t="shared" si="96"/>
        <v xml:space="preserve"> </v>
      </c>
      <c r="AU42" s="162" t="str">
        <f t="shared" si="97"/>
        <v xml:space="preserve"> </v>
      </c>
      <c r="AV42" s="162" t="str">
        <f t="shared" si="98"/>
        <v xml:space="preserve"> </v>
      </c>
      <c r="AW42" s="162" t="str">
        <f t="shared" si="99"/>
        <v xml:space="preserve"> </v>
      </c>
      <c r="AX42" s="172">
        <f t="shared" si="124"/>
        <v>2</v>
      </c>
      <c r="AY42" s="185"/>
      <c r="AZ42" s="178" t="str">
        <f t="shared" si="100"/>
        <v xml:space="preserve"> </v>
      </c>
      <c r="BA42" s="162" t="str">
        <f t="shared" si="101"/>
        <v xml:space="preserve"> </v>
      </c>
      <c r="BB42" s="162" t="str">
        <f t="shared" si="102"/>
        <v xml:space="preserve"> </v>
      </c>
      <c r="BC42" s="162" t="str">
        <f t="shared" si="103"/>
        <v xml:space="preserve"> </v>
      </c>
      <c r="BD42" s="162" t="str">
        <f t="shared" si="104"/>
        <v xml:space="preserve"> </v>
      </c>
      <c r="BE42" s="162" t="str">
        <f t="shared" si="105"/>
        <v xml:space="preserve"> </v>
      </c>
      <c r="BF42" s="162" t="str">
        <f t="shared" si="106"/>
        <v>X</v>
      </c>
      <c r="BG42" s="162" t="str">
        <f t="shared" si="107"/>
        <v xml:space="preserve"> </v>
      </c>
      <c r="BH42" s="162" t="str">
        <f t="shared" si="108"/>
        <v xml:space="preserve"> </v>
      </c>
      <c r="BI42" s="162" t="str">
        <f t="shared" si="109"/>
        <v xml:space="preserve"> </v>
      </c>
      <c r="BJ42" s="162" t="str">
        <f t="shared" si="110"/>
        <v xml:space="preserve"> </v>
      </c>
      <c r="BK42" s="172">
        <f t="shared" si="125"/>
        <v>1</v>
      </c>
      <c r="BL42" s="185"/>
      <c r="BM42" s="160">
        <v>4438</v>
      </c>
      <c r="BN42" s="195" t="s">
        <v>15</v>
      </c>
      <c r="BO42" s="178" t="e">
        <f t="shared" si="111"/>
        <v>#REF!</v>
      </c>
      <c r="BP42" s="162" t="str">
        <f t="shared" si="112"/>
        <v xml:space="preserve"> </v>
      </c>
      <c r="BQ42" s="162" t="str">
        <f t="shared" si="113"/>
        <v xml:space="preserve"> </v>
      </c>
      <c r="BR42" s="162" t="str">
        <f t="shared" si="114"/>
        <v xml:space="preserve"> </v>
      </c>
      <c r="BS42" s="162" t="str">
        <f t="shared" si="115"/>
        <v xml:space="preserve"> </v>
      </c>
      <c r="BT42" s="162" t="str">
        <f t="shared" si="116"/>
        <v xml:space="preserve"> </v>
      </c>
      <c r="BU42" s="162" t="str">
        <f t="shared" si="117"/>
        <v xml:space="preserve"> </v>
      </c>
      <c r="BV42" s="162" t="str">
        <f t="shared" si="118"/>
        <v xml:space="preserve"> </v>
      </c>
      <c r="BW42" s="162" t="str">
        <f t="shared" si="119"/>
        <v xml:space="preserve"> </v>
      </c>
      <c r="BX42" s="162" t="str">
        <f t="shared" si="120"/>
        <v xml:space="preserve"> </v>
      </c>
      <c r="BY42" s="162" t="str">
        <f t="shared" si="121"/>
        <v xml:space="preserve"> </v>
      </c>
      <c r="BZ42" s="172" t="str">
        <f t="shared" si="126"/>
        <v xml:space="preserve"> </v>
      </c>
      <c r="CA42" s="189"/>
    </row>
    <row r="43" spans="1:79" ht="15.75" x14ac:dyDescent="0.25">
      <c r="A43" s="199">
        <f t="shared" si="60"/>
        <v>4760</v>
      </c>
      <c r="B43" s="199" t="str">
        <f t="shared" si="61"/>
        <v>NBAA</v>
      </c>
      <c r="C43" s="56">
        <f t="shared" si="62"/>
        <v>6</v>
      </c>
      <c r="D43" s="53">
        <f t="shared" si="63"/>
        <v>2</v>
      </c>
      <c r="E43" s="39">
        <f t="shared" si="64"/>
        <v>6</v>
      </c>
      <c r="F43" s="39">
        <f t="shared" si="65"/>
        <v>2</v>
      </c>
      <c r="G43" s="210">
        <f t="shared" si="66"/>
        <v>1</v>
      </c>
      <c r="I43" s="160">
        <v>4760</v>
      </c>
      <c r="J43" s="195" t="s">
        <v>15</v>
      </c>
      <c r="K43" s="162" t="str">
        <f t="shared" si="67"/>
        <v xml:space="preserve"> </v>
      </c>
      <c r="L43" s="162" t="str">
        <f t="shared" si="68"/>
        <v>X</v>
      </c>
      <c r="M43" s="162" t="str">
        <f t="shared" si="69"/>
        <v>X</v>
      </c>
      <c r="N43" s="162" t="str">
        <f t="shared" si="70"/>
        <v>X</v>
      </c>
      <c r="O43" s="162" t="str">
        <f t="shared" si="71"/>
        <v>X</v>
      </c>
      <c r="P43" s="162" t="str">
        <f t="shared" si="72"/>
        <v>X</v>
      </c>
      <c r="Q43" s="162" t="str">
        <f t="shared" si="73"/>
        <v xml:space="preserve"> </v>
      </c>
      <c r="R43" s="162" t="str">
        <f t="shared" si="74"/>
        <v xml:space="preserve"> </v>
      </c>
      <c r="S43" s="162" t="str">
        <f t="shared" si="75"/>
        <v>X</v>
      </c>
      <c r="T43" s="162" t="str">
        <f t="shared" si="76"/>
        <v xml:space="preserve"> </v>
      </c>
      <c r="U43" s="162" t="str">
        <f t="shared" si="77"/>
        <v xml:space="preserve"> </v>
      </c>
      <c r="V43" s="172">
        <f t="shared" si="122"/>
        <v>6</v>
      </c>
      <c r="W43" s="185"/>
      <c r="X43" s="178" t="str">
        <f t="shared" si="78"/>
        <v xml:space="preserve"> </v>
      </c>
      <c r="Y43" s="162" t="str">
        <f t="shared" si="79"/>
        <v xml:space="preserve"> </v>
      </c>
      <c r="Z43" s="162" t="str">
        <f t="shared" si="80"/>
        <v xml:space="preserve"> </v>
      </c>
      <c r="AA43" s="162" t="str">
        <f t="shared" si="81"/>
        <v xml:space="preserve"> </v>
      </c>
      <c r="AB43" s="162" t="str">
        <f t="shared" si="82"/>
        <v xml:space="preserve"> </v>
      </c>
      <c r="AC43" s="162" t="str">
        <f t="shared" si="83"/>
        <v xml:space="preserve"> </v>
      </c>
      <c r="AD43" s="162" t="str">
        <f t="shared" si="84"/>
        <v>X</v>
      </c>
      <c r="AE43" s="162" t="str">
        <f t="shared" si="85"/>
        <v xml:space="preserve"> </v>
      </c>
      <c r="AF43" s="162" t="str">
        <f t="shared" si="86"/>
        <v xml:space="preserve"> </v>
      </c>
      <c r="AG43" s="162" t="str">
        <f t="shared" si="87"/>
        <v xml:space="preserve"> </v>
      </c>
      <c r="AH43" s="162" t="str">
        <f t="shared" si="88"/>
        <v>X</v>
      </c>
      <c r="AI43" s="172">
        <f t="shared" si="123"/>
        <v>2</v>
      </c>
      <c r="AJ43" s="185"/>
      <c r="AK43" s="160">
        <v>4760</v>
      </c>
      <c r="AL43" s="195" t="s">
        <v>15</v>
      </c>
      <c r="AM43" s="178" t="str">
        <f t="shared" si="89"/>
        <v xml:space="preserve"> </v>
      </c>
      <c r="AN43" s="162" t="str">
        <f t="shared" si="90"/>
        <v xml:space="preserve"> </v>
      </c>
      <c r="AO43" s="162" t="str">
        <f t="shared" si="91"/>
        <v xml:space="preserve"> </v>
      </c>
      <c r="AP43" s="162" t="str">
        <f t="shared" si="92"/>
        <v xml:space="preserve"> </v>
      </c>
      <c r="AQ43" s="162" t="str">
        <f t="shared" si="93"/>
        <v xml:space="preserve"> </v>
      </c>
      <c r="AR43" s="162" t="str">
        <f t="shared" si="94"/>
        <v xml:space="preserve"> </v>
      </c>
      <c r="AS43" s="162" t="str">
        <f t="shared" si="95"/>
        <v xml:space="preserve"> </v>
      </c>
      <c r="AT43" s="162" t="str">
        <f t="shared" si="96"/>
        <v xml:space="preserve"> </v>
      </c>
      <c r="AU43" s="162" t="str">
        <f t="shared" si="97"/>
        <v xml:space="preserve"> </v>
      </c>
      <c r="AV43" s="162" t="str">
        <f t="shared" si="98"/>
        <v>X</v>
      </c>
      <c r="AW43" s="162" t="str">
        <f t="shared" si="99"/>
        <v xml:space="preserve"> </v>
      </c>
      <c r="AX43" s="172">
        <f t="shared" si="124"/>
        <v>1</v>
      </c>
      <c r="AY43" s="185"/>
      <c r="AZ43" s="178" t="str">
        <f t="shared" si="100"/>
        <v xml:space="preserve"> </v>
      </c>
      <c r="BA43" s="162" t="str">
        <f t="shared" si="101"/>
        <v>X</v>
      </c>
      <c r="BB43" s="162" t="str">
        <f t="shared" si="102"/>
        <v>X</v>
      </c>
      <c r="BC43" s="162" t="str">
        <f t="shared" si="103"/>
        <v>X</v>
      </c>
      <c r="BD43" s="162" t="str">
        <f t="shared" si="104"/>
        <v xml:space="preserve"> </v>
      </c>
      <c r="BE43" s="162" t="str">
        <f t="shared" si="105"/>
        <v>X</v>
      </c>
      <c r="BF43" s="162" t="str">
        <f t="shared" si="106"/>
        <v>X</v>
      </c>
      <c r="BG43" s="162" t="str">
        <f t="shared" si="107"/>
        <v xml:space="preserve"> </v>
      </c>
      <c r="BH43" s="162" t="str">
        <f t="shared" si="108"/>
        <v xml:space="preserve"> </v>
      </c>
      <c r="BI43" s="162" t="str">
        <f t="shared" si="109"/>
        <v xml:space="preserve"> </v>
      </c>
      <c r="BJ43" s="162" t="str">
        <f t="shared" si="110"/>
        <v>X</v>
      </c>
      <c r="BK43" s="172">
        <f t="shared" si="125"/>
        <v>6</v>
      </c>
      <c r="BL43" s="185"/>
      <c r="BM43" s="160">
        <v>4760</v>
      </c>
      <c r="BN43" s="195" t="s">
        <v>15</v>
      </c>
      <c r="BO43" s="178" t="e">
        <f t="shared" si="111"/>
        <v>#REF!</v>
      </c>
      <c r="BP43" s="162" t="str">
        <f t="shared" si="112"/>
        <v xml:space="preserve"> </v>
      </c>
      <c r="BQ43" s="162" t="str">
        <f t="shared" si="113"/>
        <v xml:space="preserve"> </v>
      </c>
      <c r="BR43" s="162" t="str">
        <f t="shared" si="114"/>
        <v xml:space="preserve"> </v>
      </c>
      <c r="BS43" s="162" t="str">
        <f t="shared" si="115"/>
        <v xml:space="preserve"> </v>
      </c>
      <c r="BT43" s="162" t="str">
        <f t="shared" si="116"/>
        <v xml:space="preserve"> </v>
      </c>
      <c r="BU43" s="162" t="str">
        <f t="shared" si="117"/>
        <v>X</v>
      </c>
      <c r="BV43" s="162" t="str">
        <f t="shared" si="118"/>
        <v xml:space="preserve"> </v>
      </c>
      <c r="BW43" s="162" t="str">
        <f t="shared" si="119"/>
        <v xml:space="preserve"> </v>
      </c>
      <c r="BX43" s="162" t="str">
        <f t="shared" si="120"/>
        <v xml:space="preserve"> </v>
      </c>
      <c r="BY43" s="162" t="str">
        <f t="shared" si="121"/>
        <v>X</v>
      </c>
      <c r="BZ43" s="172">
        <f t="shared" si="126"/>
        <v>2</v>
      </c>
      <c r="CA43" s="189"/>
    </row>
    <row r="44" spans="1:79" ht="15.75" x14ac:dyDescent="0.25">
      <c r="A44" s="199">
        <f t="shared" si="60"/>
        <v>6084</v>
      </c>
      <c r="B44" s="199" t="str">
        <f t="shared" si="61"/>
        <v>NBAA</v>
      </c>
      <c r="C44" s="56" t="str">
        <f t="shared" si="62"/>
        <v xml:space="preserve"> </v>
      </c>
      <c r="D44" s="53" t="str">
        <f t="shared" si="63"/>
        <v xml:space="preserve"> </v>
      </c>
      <c r="E44" s="39" t="str">
        <f t="shared" si="64"/>
        <v xml:space="preserve"> </v>
      </c>
      <c r="F44" s="39">
        <f t="shared" si="65"/>
        <v>1</v>
      </c>
      <c r="G44" s="210" t="str">
        <f t="shared" si="66"/>
        <v xml:space="preserve"> </v>
      </c>
      <c r="I44" s="160">
        <v>6084</v>
      </c>
      <c r="J44" s="195" t="s">
        <v>15</v>
      </c>
      <c r="K44" s="162" t="str">
        <f t="shared" si="67"/>
        <v xml:space="preserve"> </v>
      </c>
      <c r="L44" s="162" t="str">
        <f t="shared" si="68"/>
        <v xml:space="preserve"> </v>
      </c>
      <c r="M44" s="162" t="str">
        <f t="shared" si="69"/>
        <v xml:space="preserve"> </v>
      </c>
      <c r="N44" s="162" t="str">
        <f t="shared" si="70"/>
        <v xml:space="preserve"> </v>
      </c>
      <c r="O44" s="162" t="str">
        <f t="shared" si="71"/>
        <v xml:space="preserve"> </v>
      </c>
      <c r="P44" s="162" t="str">
        <f t="shared" si="72"/>
        <v xml:space="preserve"> </v>
      </c>
      <c r="Q44" s="162" t="str">
        <f t="shared" si="73"/>
        <v xml:space="preserve"> </v>
      </c>
      <c r="R44" s="162" t="str">
        <f t="shared" si="74"/>
        <v xml:space="preserve"> </v>
      </c>
      <c r="S44" s="162" t="str">
        <f t="shared" si="75"/>
        <v xml:space="preserve"> </v>
      </c>
      <c r="T44" s="162" t="str">
        <f t="shared" si="76"/>
        <v xml:space="preserve"> </v>
      </c>
      <c r="U44" s="162" t="str">
        <f t="shared" si="77"/>
        <v xml:space="preserve"> </v>
      </c>
      <c r="V44" s="172" t="str">
        <f t="shared" si="122"/>
        <v xml:space="preserve"> </v>
      </c>
      <c r="W44" s="185"/>
      <c r="X44" s="178" t="str">
        <f t="shared" si="78"/>
        <v xml:space="preserve"> </v>
      </c>
      <c r="Y44" s="162" t="str">
        <f t="shared" si="79"/>
        <v xml:space="preserve"> </v>
      </c>
      <c r="Z44" s="162" t="str">
        <f t="shared" si="80"/>
        <v xml:space="preserve"> </v>
      </c>
      <c r="AA44" s="162" t="str">
        <f t="shared" si="81"/>
        <v xml:space="preserve"> </v>
      </c>
      <c r="AB44" s="162" t="str">
        <f t="shared" si="82"/>
        <v xml:space="preserve"> </v>
      </c>
      <c r="AC44" s="162" t="str">
        <f t="shared" si="83"/>
        <v xml:space="preserve"> </v>
      </c>
      <c r="AD44" s="162" t="str">
        <f t="shared" si="84"/>
        <v xml:space="preserve"> </v>
      </c>
      <c r="AE44" s="162" t="str">
        <f t="shared" si="85"/>
        <v xml:space="preserve"> </v>
      </c>
      <c r="AF44" s="162" t="str">
        <f t="shared" si="86"/>
        <v xml:space="preserve"> </v>
      </c>
      <c r="AG44" s="162" t="str">
        <f t="shared" si="87"/>
        <v xml:space="preserve"> </v>
      </c>
      <c r="AH44" s="162" t="str">
        <f t="shared" si="88"/>
        <v xml:space="preserve"> </v>
      </c>
      <c r="AI44" s="172" t="str">
        <f t="shared" si="123"/>
        <v xml:space="preserve"> </v>
      </c>
      <c r="AJ44" s="185"/>
      <c r="AK44" s="160">
        <v>6084</v>
      </c>
      <c r="AL44" s="195" t="s">
        <v>15</v>
      </c>
      <c r="AM44" s="178" t="str">
        <f t="shared" si="89"/>
        <v xml:space="preserve"> </v>
      </c>
      <c r="AN44" s="162" t="str">
        <f t="shared" si="90"/>
        <v xml:space="preserve"> </v>
      </c>
      <c r="AO44" s="162" t="str">
        <f t="shared" si="91"/>
        <v xml:space="preserve"> </v>
      </c>
      <c r="AP44" s="162" t="str">
        <f t="shared" si="92"/>
        <v xml:space="preserve"> </v>
      </c>
      <c r="AQ44" s="162" t="str">
        <f t="shared" si="93"/>
        <v xml:space="preserve"> </v>
      </c>
      <c r="AR44" s="162" t="str">
        <f t="shared" si="94"/>
        <v xml:space="preserve"> </v>
      </c>
      <c r="AS44" s="162" t="str">
        <f t="shared" si="95"/>
        <v xml:space="preserve"> </v>
      </c>
      <c r="AT44" s="162" t="str">
        <f t="shared" si="96"/>
        <v xml:space="preserve"> </v>
      </c>
      <c r="AU44" s="162" t="str">
        <f t="shared" si="97"/>
        <v xml:space="preserve"> </v>
      </c>
      <c r="AV44" s="162" t="str">
        <f t="shared" si="98"/>
        <v xml:space="preserve"> </v>
      </c>
      <c r="AW44" s="162" t="str">
        <f t="shared" si="99"/>
        <v xml:space="preserve"> </v>
      </c>
      <c r="AX44" s="172" t="str">
        <f t="shared" si="124"/>
        <v xml:space="preserve"> </v>
      </c>
      <c r="AY44" s="185"/>
      <c r="AZ44" s="178" t="str">
        <f t="shared" si="100"/>
        <v xml:space="preserve"> </v>
      </c>
      <c r="BA44" s="162" t="str">
        <f t="shared" si="101"/>
        <v xml:space="preserve"> </v>
      </c>
      <c r="BB44" s="162" t="str">
        <f t="shared" si="102"/>
        <v xml:space="preserve"> </v>
      </c>
      <c r="BC44" s="162" t="str">
        <f t="shared" si="103"/>
        <v xml:space="preserve"> </v>
      </c>
      <c r="BD44" s="162" t="str">
        <f t="shared" si="104"/>
        <v xml:space="preserve"> </v>
      </c>
      <c r="BE44" s="162" t="str">
        <f t="shared" si="105"/>
        <v xml:space="preserve"> </v>
      </c>
      <c r="BF44" s="162" t="str">
        <f t="shared" si="106"/>
        <v xml:space="preserve"> </v>
      </c>
      <c r="BG44" s="162" t="str">
        <f t="shared" si="107"/>
        <v xml:space="preserve"> </v>
      </c>
      <c r="BH44" s="162" t="str">
        <f t="shared" si="108"/>
        <v xml:space="preserve"> </v>
      </c>
      <c r="BI44" s="162" t="str">
        <f t="shared" si="109"/>
        <v xml:space="preserve"> </v>
      </c>
      <c r="BJ44" s="162" t="str">
        <f t="shared" si="110"/>
        <v xml:space="preserve"> </v>
      </c>
      <c r="BK44" s="172" t="str">
        <f t="shared" si="125"/>
        <v xml:space="preserve"> </v>
      </c>
      <c r="BL44" s="185"/>
      <c r="BM44" s="160">
        <v>6084</v>
      </c>
      <c r="BN44" s="195" t="s">
        <v>15</v>
      </c>
      <c r="BO44" s="178" t="e">
        <f t="shared" si="111"/>
        <v>#REF!</v>
      </c>
      <c r="BP44" s="162" t="str">
        <f t="shared" si="112"/>
        <v xml:space="preserve"> </v>
      </c>
      <c r="BQ44" s="162" t="str">
        <f t="shared" si="113"/>
        <v xml:space="preserve"> </v>
      </c>
      <c r="BR44" s="162" t="str">
        <f t="shared" si="114"/>
        <v xml:space="preserve"> </v>
      </c>
      <c r="BS44" s="162" t="str">
        <f t="shared" si="115"/>
        <v xml:space="preserve"> </v>
      </c>
      <c r="BT44" s="162" t="str">
        <f t="shared" si="116"/>
        <v xml:space="preserve"> </v>
      </c>
      <c r="BU44" s="162" t="str">
        <f t="shared" si="117"/>
        <v xml:space="preserve"> </v>
      </c>
      <c r="BV44" s="162" t="str">
        <f t="shared" si="118"/>
        <v xml:space="preserve"> </v>
      </c>
      <c r="BW44" s="162" t="str">
        <f t="shared" si="119"/>
        <v>X</v>
      </c>
      <c r="BX44" s="162" t="str">
        <f t="shared" si="120"/>
        <v xml:space="preserve"> </v>
      </c>
      <c r="BY44" s="162" t="str">
        <f t="shared" si="121"/>
        <v xml:space="preserve"> </v>
      </c>
      <c r="BZ44" s="172">
        <f t="shared" si="126"/>
        <v>1</v>
      </c>
      <c r="CA44" s="189"/>
    </row>
    <row r="45" spans="1:79" ht="15.75" x14ac:dyDescent="0.25">
      <c r="A45" s="199">
        <f t="shared" si="60"/>
        <v>6728</v>
      </c>
      <c r="B45" s="199" t="str">
        <f t="shared" si="61"/>
        <v>NBAA</v>
      </c>
      <c r="C45" s="56" t="str">
        <f t="shared" si="62"/>
        <v xml:space="preserve"> </v>
      </c>
      <c r="D45" s="53">
        <f t="shared" si="63"/>
        <v>4</v>
      </c>
      <c r="E45" s="39">
        <f t="shared" si="64"/>
        <v>4</v>
      </c>
      <c r="F45" s="39">
        <f t="shared" si="65"/>
        <v>5</v>
      </c>
      <c r="G45" s="210" t="str">
        <f t="shared" si="66"/>
        <v xml:space="preserve"> </v>
      </c>
      <c r="I45" s="160">
        <v>6728</v>
      </c>
      <c r="J45" s="195" t="s">
        <v>15</v>
      </c>
      <c r="K45" s="162" t="str">
        <f t="shared" si="67"/>
        <v xml:space="preserve"> </v>
      </c>
      <c r="L45" s="162" t="str">
        <f t="shared" si="68"/>
        <v xml:space="preserve"> </v>
      </c>
      <c r="M45" s="162" t="str">
        <f t="shared" si="69"/>
        <v xml:space="preserve"> </v>
      </c>
      <c r="N45" s="162" t="str">
        <f t="shared" si="70"/>
        <v xml:space="preserve"> </v>
      </c>
      <c r="O45" s="162" t="str">
        <f t="shared" si="71"/>
        <v xml:space="preserve"> </v>
      </c>
      <c r="P45" s="162" t="str">
        <f t="shared" si="72"/>
        <v xml:space="preserve"> </v>
      </c>
      <c r="Q45" s="162" t="str">
        <f t="shared" si="73"/>
        <v xml:space="preserve"> </v>
      </c>
      <c r="R45" s="162" t="str">
        <f t="shared" si="74"/>
        <v xml:space="preserve"> </v>
      </c>
      <c r="S45" s="162" t="str">
        <f t="shared" si="75"/>
        <v xml:space="preserve"> </v>
      </c>
      <c r="T45" s="162" t="str">
        <f t="shared" si="76"/>
        <v xml:space="preserve"> </v>
      </c>
      <c r="U45" s="162" t="str">
        <f t="shared" si="77"/>
        <v xml:space="preserve"> </v>
      </c>
      <c r="V45" s="172" t="str">
        <f t="shared" si="122"/>
        <v xml:space="preserve"> </v>
      </c>
      <c r="W45" s="185"/>
      <c r="X45" s="178" t="str">
        <f t="shared" si="78"/>
        <v xml:space="preserve"> </v>
      </c>
      <c r="Y45" s="162" t="str">
        <f t="shared" si="79"/>
        <v xml:space="preserve"> </v>
      </c>
      <c r="Z45" s="162" t="str">
        <f t="shared" si="80"/>
        <v xml:space="preserve"> </v>
      </c>
      <c r="AA45" s="162" t="str">
        <f t="shared" si="81"/>
        <v xml:space="preserve"> </v>
      </c>
      <c r="AB45" s="162" t="str">
        <f t="shared" si="82"/>
        <v>X</v>
      </c>
      <c r="AC45" s="162" t="str">
        <f t="shared" si="83"/>
        <v>X</v>
      </c>
      <c r="AD45" s="162" t="str">
        <f t="shared" si="84"/>
        <v>X</v>
      </c>
      <c r="AE45" s="162" t="str">
        <f t="shared" si="85"/>
        <v>X</v>
      </c>
      <c r="AF45" s="162" t="str">
        <f t="shared" si="86"/>
        <v xml:space="preserve"> </v>
      </c>
      <c r="AG45" s="162" t="str">
        <f t="shared" si="87"/>
        <v xml:space="preserve"> </v>
      </c>
      <c r="AH45" s="162" t="str">
        <f t="shared" si="88"/>
        <v xml:space="preserve"> </v>
      </c>
      <c r="AI45" s="172">
        <f t="shared" si="123"/>
        <v>4</v>
      </c>
      <c r="AJ45" s="185"/>
      <c r="AK45" s="160">
        <v>6728</v>
      </c>
      <c r="AL45" s="195" t="s">
        <v>15</v>
      </c>
      <c r="AM45" s="178" t="str">
        <f t="shared" si="89"/>
        <v xml:space="preserve"> </v>
      </c>
      <c r="AN45" s="162" t="str">
        <f t="shared" si="90"/>
        <v xml:space="preserve"> </v>
      </c>
      <c r="AO45" s="162" t="str">
        <f t="shared" si="91"/>
        <v xml:space="preserve"> </v>
      </c>
      <c r="AP45" s="162" t="str">
        <f t="shared" si="92"/>
        <v xml:space="preserve"> </v>
      </c>
      <c r="AQ45" s="162" t="str">
        <f t="shared" si="93"/>
        <v xml:space="preserve"> </v>
      </c>
      <c r="AR45" s="162" t="str">
        <f t="shared" si="94"/>
        <v xml:space="preserve"> </v>
      </c>
      <c r="AS45" s="162" t="str">
        <f t="shared" si="95"/>
        <v xml:space="preserve"> </v>
      </c>
      <c r="AT45" s="162" t="str">
        <f t="shared" si="96"/>
        <v xml:space="preserve"> </v>
      </c>
      <c r="AU45" s="162" t="str">
        <f t="shared" si="97"/>
        <v xml:space="preserve"> </v>
      </c>
      <c r="AV45" s="162" t="str">
        <f t="shared" si="98"/>
        <v xml:space="preserve"> </v>
      </c>
      <c r="AW45" s="162" t="str">
        <f t="shared" si="99"/>
        <v xml:space="preserve"> </v>
      </c>
      <c r="AX45" s="172" t="str">
        <f t="shared" si="124"/>
        <v xml:space="preserve"> </v>
      </c>
      <c r="AY45" s="185"/>
      <c r="AZ45" s="178" t="str">
        <f t="shared" si="100"/>
        <v xml:space="preserve"> </v>
      </c>
      <c r="BA45" s="162" t="str">
        <f t="shared" si="101"/>
        <v xml:space="preserve"> </v>
      </c>
      <c r="BB45" s="162" t="str">
        <f t="shared" si="102"/>
        <v xml:space="preserve"> </v>
      </c>
      <c r="BC45" s="162" t="str">
        <f t="shared" si="103"/>
        <v xml:space="preserve"> </v>
      </c>
      <c r="BD45" s="162" t="str">
        <f t="shared" si="104"/>
        <v>X</v>
      </c>
      <c r="BE45" s="162" t="str">
        <f t="shared" si="105"/>
        <v>X</v>
      </c>
      <c r="BF45" s="162" t="str">
        <f t="shared" si="106"/>
        <v>X</v>
      </c>
      <c r="BG45" s="162" t="str">
        <f t="shared" si="107"/>
        <v>X</v>
      </c>
      <c r="BH45" s="162" t="str">
        <f t="shared" si="108"/>
        <v xml:space="preserve"> </v>
      </c>
      <c r="BI45" s="162" t="str">
        <f t="shared" si="109"/>
        <v xml:space="preserve"> </v>
      </c>
      <c r="BJ45" s="162" t="str">
        <f t="shared" si="110"/>
        <v xml:space="preserve"> </v>
      </c>
      <c r="BK45" s="172">
        <f t="shared" si="125"/>
        <v>4</v>
      </c>
      <c r="BL45" s="185"/>
      <c r="BM45" s="160">
        <v>6728</v>
      </c>
      <c r="BN45" s="195" t="s">
        <v>15</v>
      </c>
      <c r="BO45" s="178" t="e">
        <f t="shared" si="111"/>
        <v>#REF!</v>
      </c>
      <c r="BP45" s="162" t="str">
        <f t="shared" si="112"/>
        <v xml:space="preserve"> </v>
      </c>
      <c r="BQ45" s="162" t="str">
        <f t="shared" si="113"/>
        <v xml:space="preserve"> </v>
      </c>
      <c r="BR45" s="162" t="str">
        <f t="shared" si="114"/>
        <v xml:space="preserve"> </v>
      </c>
      <c r="BS45" s="162" t="str">
        <f t="shared" si="115"/>
        <v>X</v>
      </c>
      <c r="BT45" s="162" t="str">
        <f t="shared" si="116"/>
        <v>X</v>
      </c>
      <c r="BU45" s="162" t="str">
        <f t="shared" si="117"/>
        <v>X</v>
      </c>
      <c r="BV45" s="162" t="str">
        <f t="shared" si="118"/>
        <v>X</v>
      </c>
      <c r="BW45" s="162" t="str">
        <f t="shared" si="119"/>
        <v xml:space="preserve"> </v>
      </c>
      <c r="BX45" s="162" t="str">
        <f t="shared" si="120"/>
        <v>X</v>
      </c>
      <c r="BY45" s="162" t="str">
        <f t="shared" si="121"/>
        <v xml:space="preserve"> </v>
      </c>
      <c r="BZ45" s="172">
        <f t="shared" si="126"/>
        <v>5</v>
      </c>
      <c r="CA45" s="189"/>
    </row>
    <row r="46" spans="1:79" ht="15.75" x14ac:dyDescent="0.25">
      <c r="A46" s="199">
        <f t="shared" si="60"/>
        <v>12296</v>
      </c>
      <c r="B46" s="199" t="str">
        <f t="shared" si="61"/>
        <v>NBAA</v>
      </c>
      <c r="C46" s="56" t="str">
        <f t="shared" si="62"/>
        <v xml:space="preserve"> </v>
      </c>
      <c r="D46" s="53" t="str">
        <f t="shared" si="63"/>
        <v xml:space="preserve"> </v>
      </c>
      <c r="E46" s="39">
        <f t="shared" si="64"/>
        <v>1</v>
      </c>
      <c r="F46" s="39" t="str">
        <f t="shared" si="65"/>
        <v xml:space="preserve"> </v>
      </c>
      <c r="G46" s="210" t="str">
        <f t="shared" si="66"/>
        <v xml:space="preserve"> </v>
      </c>
      <c r="I46" s="160">
        <v>12296</v>
      </c>
      <c r="J46" s="195" t="s">
        <v>15</v>
      </c>
      <c r="K46" s="162" t="str">
        <f t="shared" si="67"/>
        <v xml:space="preserve"> </v>
      </c>
      <c r="L46" s="162" t="str">
        <f t="shared" si="68"/>
        <v xml:space="preserve"> </v>
      </c>
      <c r="M46" s="162" t="str">
        <f t="shared" si="69"/>
        <v xml:space="preserve"> </v>
      </c>
      <c r="N46" s="162" t="str">
        <f t="shared" si="70"/>
        <v xml:space="preserve"> </v>
      </c>
      <c r="O46" s="162" t="str">
        <f t="shared" si="71"/>
        <v xml:space="preserve"> </v>
      </c>
      <c r="P46" s="162" t="str">
        <f t="shared" si="72"/>
        <v xml:space="preserve"> </v>
      </c>
      <c r="Q46" s="162" t="str">
        <f t="shared" si="73"/>
        <v xml:space="preserve"> </v>
      </c>
      <c r="R46" s="162" t="str">
        <f t="shared" si="74"/>
        <v xml:space="preserve"> </v>
      </c>
      <c r="S46" s="162" t="str">
        <f t="shared" si="75"/>
        <v xml:space="preserve"> </v>
      </c>
      <c r="T46" s="162" t="str">
        <f t="shared" si="76"/>
        <v xml:space="preserve"> </v>
      </c>
      <c r="U46" s="162" t="str">
        <f t="shared" si="77"/>
        <v xml:space="preserve"> </v>
      </c>
      <c r="V46" s="172" t="str">
        <f t="shared" si="122"/>
        <v xml:space="preserve"> </v>
      </c>
      <c r="W46" s="185"/>
      <c r="X46" s="178" t="str">
        <f t="shared" si="78"/>
        <v xml:space="preserve"> </v>
      </c>
      <c r="Y46" s="162" t="str">
        <f t="shared" si="79"/>
        <v xml:space="preserve"> </v>
      </c>
      <c r="Z46" s="162" t="str">
        <f t="shared" si="80"/>
        <v xml:space="preserve"> </v>
      </c>
      <c r="AA46" s="162" t="str">
        <f t="shared" si="81"/>
        <v xml:space="preserve"> </v>
      </c>
      <c r="AB46" s="162" t="str">
        <f t="shared" si="82"/>
        <v xml:space="preserve"> </v>
      </c>
      <c r="AC46" s="162" t="str">
        <f t="shared" si="83"/>
        <v xml:space="preserve"> </v>
      </c>
      <c r="AD46" s="162" t="str">
        <f t="shared" si="84"/>
        <v xml:space="preserve"> </v>
      </c>
      <c r="AE46" s="162" t="str">
        <f t="shared" si="85"/>
        <v xml:space="preserve"> </v>
      </c>
      <c r="AF46" s="162" t="str">
        <f t="shared" si="86"/>
        <v xml:space="preserve"> </v>
      </c>
      <c r="AG46" s="162" t="str">
        <f t="shared" si="87"/>
        <v xml:space="preserve"> </v>
      </c>
      <c r="AH46" s="162" t="str">
        <f t="shared" si="88"/>
        <v xml:space="preserve"> </v>
      </c>
      <c r="AI46" s="172" t="str">
        <f t="shared" si="123"/>
        <v xml:space="preserve"> </v>
      </c>
      <c r="AJ46" s="185"/>
      <c r="AK46" s="160">
        <v>12296</v>
      </c>
      <c r="AL46" s="195" t="s">
        <v>15</v>
      </c>
      <c r="AM46" s="178" t="str">
        <f t="shared" si="89"/>
        <v xml:space="preserve"> </v>
      </c>
      <c r="AN46" s="162" t="str">
        <f t="shared" si="90"/>
        <v xml:space="preserve"> </v>
      </c>
      <c r="AO46" s="162" t="str">
        <f t="shared" si="91"/>
        <v xml:space="preserve"> </v>
      </c>
      <c r="AP46" s="162" t="str">
        <f t="shared" si="92"/>
        <v xml:space="preserve"> </v>
      </c>
      <c r="AQ46" s="162" t="str">
        <f t="shared" si="93"/>
        <v xml:space="preserve"> </v>
      </c>
      <c r="AR46" s="162" t="str">
        <f t="shared" si="94"/>
        <v xml:space="preserve"> </v>
      </c>
      <c r="AS46" s="162" t="str">
        <f t="shared" si="95"/>
        <v xml:space="preserve"> </v>
      </c>
      <c r="AT46" s="162" t="str">
        <f t="shared" si="96"/>
        <v xml:space="preserve"> </v>
      </c>
      <c r="AU46" s="162" t="str">
        <f t="shared" si="97"/>
        <v xml:space="preserve"> </v>
      </c>
      <c r="AV46" s="162" t="str">
        <f t="shared" si="98"/>
        <v xml:space="preserve"> </v>
      </c>
      <c r="AW46" s="162" t="str">
        <f t="shared" si="99"/>
        <v xml:space="preserve"> </v>
      </c>
      <c r="AX46" s="172" t="str">
        <f t="shared" si="124"/>
        <v xml:space="preserve"> </v>
      </c>
      <c r="AY46" s="185"/>
      <c r="AZ46" s="178" t="str">
        <f t="shared" si="100"/>
        <v xml:space="preserve"> </v>
      </c>
      <c r="BA46" s="162" t="str">
        <f t="shared" si="101"/>
        <v xml:space="preserve"> </v>
      </c>
      <c r="BB46" s="162" t="str">
        <f t="shared" si="102"/>
        <v xml:space="preserve"> </v>
      </c>
      <c r="BC46" s="162" t="str">
        <f t="shared" si="103"/>
        <v xml:space="preserve"> </v>
      </c>
      <c r="BD46" s="162" t="str">
        <f t="shared" si="104"/>
        <v>X</v>
      </c>
      <c r="BE46" s="162" t="str">
        <f t="shared" si="105"/>
        <v xml:space="preserve"> </v>
      </c>
      <c r="BF46" s="162" t="str">
        <f t="shared" si="106"/>
        <v xml:space="preserve"> </v>
      </c>
      <c r="BG46" s="162" t="str">
        <f t="shared" si="107"/>
        <v xml:space="preserve"> </v>
      </c>
      <c r="BH46" s="162" t="str">
        <f t="shared" si="108"/>
        <v xml:space="preserve"> </v>
      </c>
      <c r="BI46" s="162" t="str">
        <f t="shared" si="109"/>
        <v xml:space="preserve"> </v>
      </c>
      <c r="BJ46" s="162" t="str">
        <f t="shared" si="110"/>
        <v xml:space="preserve"> </v>
      </c>
      <c r="BK46" s="172">
        <f t="shared" si="125"/>
        <v>1</v>
      </c>
      <c r="BL46" s="185"/>
      <c r="BM46" s="160">
        <v>12296</v>
      </c>
      <c r="BN46" s="195" t="s">
        <v>15</v>
      </c>
      <c r="BO46" s="178" t="e">
        <f t="shared" si="111"/>
        <v>#REF!</v>
      </c>
      <c r="BP46" s="162" t="str">
        <f t="shared" si="112"/>
        <v xml:space="preserve"> </v>
      </c>
      <c r="BQ46" s="162" t="str">
        <f t="shared" si="113"/>
        <v xml:space="preserve"> </v>
      </c>
      <c r="BR46" s="162" t="str">
        <f t="shared" si="114"/>
        <v xml:space="preserve"> </v>
      </c>
      <c r="BS46" s="162" t="str">
        <f t="shared" si="115"/>
        <v xml:space="preserve"> </v>
      </c>
      <c r="BT46" s="162" t="str">
        <f t="shared" si="116"/>
        <v xml:space="preserve"> </v>
      </c>
      <c r="BU46" s="162" t="str">
        <f t="shared" si="117"/>
        <v xml:space="preserve"> </v>
      </c>
      <c r="BV46" s="162" t="str">
        <f t="shared" si="118"/>
        <v xml:space="preserve"> </v>
      </c>
      <c r="BW46" s="162" t="str">
        <f t="shared" si="119"/>
        <v xml:space="preserve"> </v>
      </c>
      <c r="BX46" s="162" t="str">
        <f t="shared" si="120"/>
        <v xml:space="preserve"> </v>
      </c>
      <c r="BY46" s="162" t="str">
        <f t="shared" si="121"/>
        <v xml:space="preserve"> </v>
      </c>
      <c r="BZ46" s="172" t="str">
        <f t="shared" si="126"/>
        <v xml:space="preserve"> </v>
      </c>
      <c r="CA46" s="189"/>
    </row>
    <row r="47" spans="1:79" ht="15.75" x14ac:dyDescent="0.25">
      <c r="A47" s="199">
        <f t="shared" si="60"/>
        <v>21856</v>
      </c>
      <c r="B47" s="199" t="str">
        <f t="shared" si="61"/>
        <v>NBAA</v>
      </c>
      <c r="C47" s="56" t="str">
        <f t="shared" si="62"/>
        <v xml:space="preserve"> </v>
      </c>
      <c r="D47" s="53">
        <f t="shared" si="63"/>
        <v>3</v>
      </c>
      <c r="E47" s="39">
        <f t="shared" si="64"/>
        <v>3</v>
      </c>
      <c r="F47" s="39">
        <f t="shared" si="65"/>
        <v>3</v>
      </c>
      <c r="G47" s="210" t="str">
        <f t="shared" si="66"/>
        <v xml:space="preserve"> </v>
      </c>
      <c r="I47" s="160">
        <v>21856</v>
      </c>
      <c r="J47" s="195" t="s">
        <v>15</v>
      </c>
      <c r="K47" s="162" t="str">
        <f t="shared" si="67"/>
        <v xml:space="preserve"> </v>
      </c>
      <c r="L47" s="162" t="str">
        <f t="shared" si="68"/>
        <v xml:space="preserve"> </v>
      </c>
      <c r="M47" s="162" t="str">
        <f t="shared" si="69"/>
        <v xml:space="preserve"> </v>
      </c>
      <c r="N47" s="162" t="str">
        <f t="shared" si="70"/>
        <v xml:space="preserve"> </v>
      </c>
      <c r="O47" s="162" t="str">
        <f t="shared" si="71"/>
        <v xml:space="preserve"> </v>
      </c>
      <c r="P47" s="162" t="e">
        <f t="shared" si="72"/>
        <v>#N/A</v>
      </c>
      <c r="Q47" s="162" t="e">
        <f t="shared" si="73"/>
        <v>#N/A</v>
      </c>
      <c r="R47" s="162" t="e">
        <f t="shared" si="74"/>
        <v>#N/A</v>
      </c>
      <c r="S47" s="162" t="e">
        <f t="shared" si="75"/>
        <v>#N/A</v>
      </c>
      <c r="T47" s="162" t="e">
        <f t="shared" si="76"/>
        <v>#N/A</v>
      </c>
      <c r="U47" s="162" t="e">
        <f t="shared" si="77"/>
        <v>#N/A</v>
      </c>
      <c r="V47" s="172" t="str">
        <f t="shared" si="122"/>
        <v xml:space="preserve"> </v>
      </c>
      <c r="W47" s="185"/>
      <c r="X47" s="178" t="str">
        <f t="shared" si="78"/>
        <v>X</v>
      </c>
      <c r="Y47" s="162" t="str">
        <f t="shared" si="79"/>
        <v>X</v>
      </c>
      <c r="Z47" s="162" t="str">
        <f t="shared" si="80"/>
        <v>X</v>
      </c>
      <c r="AA47" s="162" t="str">
        <f t="shared" si="81"/>
        <v xml:space="preserve"> </v>
      </c>
      <c r="AB47" s="162" t="str">
        <f t="shared" si="82"/>
        <v xml:space="preserve"> </v>
      </c>
      <c r="AC47" s="162" t="e">
        <f t="shared" si="83"/>
        <v>#N/A</v>
      </c>
      <c r="AD47" s="162" t="e">
        <f t="shared" si="84"/>
        <v>#N/A</v>
      </c>
      <c r="AE47" s="162" t="e">
        <f t="shared" si="85"/>
        <v>#N/A</v>
      </c>
      <c r="AF47" s="162" t="e">
        <f t="shared" si="86"/>
        <v>#N/A</v>
      </c>
      <c r="AG47" s="162" t="e">
        <f t="shared" si="87"/>
        <v>#N/A</v>
      </c>
      <c r="AH47" s="162" t="e">
        <f t="shared" si="88"/>
        <v>#N/A</v>
      </c>
      <c r="AI47" s="172">
        <f t="shared" si="123"/>
        <v>3</v>
      </c>
      <c r="AJ47" s="185"/>
      <c r="AK47" s="160">
        <v>21856</v>
      </c>
      <c r="AL47" s="195" t="s">
        <v>15</v>
      </c>
      <c r="AM47" s="178" t="str">
        <f t="shared" si="89"/>
        <v xml:space="preserve"> </v>
      </c>
      <c r="AN47" s="162" t="str">
        <f t="shared" si="90"/>
        <v xml:space="preserve"> </v>
      </c>
      <c r="AO47" s="162" t="str">
        <f t="shared" si="91"/>
        <v xml:space="preserve"> </v>
      </c>
      <c r="AP47" s="162" t="str">
        <f t="shared" si="92"/>
        <v xml:space="preserve"> </v>
      </c>
      <c r="AQ47" s="162" t="str">
        <f t="shared" si="93"/>
        <v xml:space="preserve"> </v>
      </c>
      <c r="AR47" s="162" t="e">
        <f t="shared" si="94"/>
        <v>#N/A</v>
      </c>
      <c r="AS47" s="162" t="e">
        <f t="shared" si="95"/>
        <v>#N/A</v>
      </c>
      <c r="AT47" s="162" t="e">
        <f t="shared" si="96"/>
        <v>#N/A</v>
      </c>
      <c r="AU47" s="162" t="e">
        <f t="shared" si="97"/>
        <v>#N/A</v>
      </c>
      <c r="AV47" s="162" t="e">
        <f t="shared" si="98"/>
        <v>#N/A</v>
      </c>
      <c r="AW47" s="162" t="e">
        <f t="shared" si="99"/>
        <v>#N/A</v>
      </c>
      <c r="AX47" s="172" t="str">
        <f t="shared" si="124"/>
        <v xml:space="preserve"> </v>
      </c>
      <c r="AY47" s="185"/>
      <c r="AZ47" s="178" t="str">
        <f t="shared" si="100"/>
        <v>X</v>
      </c>
      <c r="BA47" s="162" t="str">
        <f t="shared" si="101"/>
        <v>X</v>
      </c>
      <c r="BB47" s="162" t="str">
        <f t="shared" si="102"/>
        <v>X</v>
      </c>
      <c r="BC47" s="162" t="str">
        <f t="shared" si="103"/>
        <v xml:space="preserve"> </v>
      </c>
      <c r="BD47" s="162" t="str">
        <f t="shared" si="104"/>
        <v xml:space="preserve"> </v>
      </c>
      <c r="BE47" s="162" t="e">
        <f t="shared" si="105"/>
        <v>#N/A</v>
      </c>
      <c r="BF47" s="162" t="e">
        <f t="shared" si="106"/>
        <v>#N/A</v>
      </c>
      <c r="BG47" s="162" t="e">
        <f t="shared" si="107"/>
        <v>#N/A</v>
      </c>
      <c r="BH47" s="162" t="e">
        <f t="shared" si="108"/>
        <v>#N/A</v>
      </c>
      <c r="BI47" s="162" t="e">
        <f t="shared" si="109"/>
        <v>#N/A</v>
      </c>
      <c r="BJ47" s="162" t="e">
        <f t="shared" si="110"/>
        <v>#N/A</v>
      </c>
      <c r="BK47" s="172">
        <f t="shared" si="125"/>
        <v>3</v>
      </c>
      <c r="BL47" s="185"/>
      <c r="BM47" s="160">
        <v>21856</v>
      </c>
      <c r="BN47" s="195" t="s">
        <v>15</v>
      </c>
      <c r="BO47" s="178" t="e">
        <f t="shared" si="111"/>
        <v>#REF!</v>
      </c>
      <c r="BP47" s="162" t="str">
        <f t="shared" si="112"/>
        <v>X</v>
      </c>
      <c r="BQ47" s="162" t="str">
        <f t="shared" si="113"/>
        <v>X</v>
      </c>
      <c r="BR47" s="162" t="str">
        <f t="shared" si="114"/>
        <v>X</v>
      </c>
      <c r="BS47" s="162" t="str">
        <f t="shared" si="115"/>
        <v xml:space="preserve"> </v>
      </c>
      <c r="BT47" s="162" t="e">
        <f t="shared" si="116"/>
        <v>#N/A</v>
      </c>
      <c r="BU47" s="162" t="e">
        <f t="shared" si="117"/>
        <v>#N/A</v>
      </c>
      <c r="BV47" s="162" t="e">
        <f t="shared" si="118"/>
        <v>#N/A</v>
      </c>
      <c r="BW47" s="162" t="e">
        <f t="shared" si="119"/>
        <v>#N/A</v>
      </c>
      <c r="BX47" s="162" t="e">
        <f t="shared" si="120"/>
        <v>#N/A</v>
      </c>
      <c r="BY47" s="162" t="e">
        <f t="shared" si="121"/>
        <v>#N/A</v>
      </c>
      <c r="BZ47" s="172">
        <f t="shared" si="126"/>
        <v>3</v>
      </c>
      <c r="CA47" s="189"/>
    </row>
    <row r="48" spans="1:79" ht="15.75" x14ac:dyDescent="0.25">
      <c r="A48" s="199">
        <f t="shared" si="60"/>
        <v>51</v>
      </c>
      <c r="B48" s="199" t="str">
        <f t="shared" si="61"/>
        <v>NGSA</v>
      </c>
      <c r="C48" s="56" t="str">
        <f t="shared" si="62"/>
        <v xml:space="preserve"> </v>
      </c>
      <c r="D48" s="53">
        <f t="shared" si="63"/>
        <v>11</v>
      </c>
      <c r="E48" s="39">
        <f t="shared" si="64"/>
        <v>11</v>
      </c>
      <c r="F48" s="39">
        <f t="shared" si="65"/>
        <v>11</v>
      </c>
      <c r="G48" s="210" t="str">
        <f t="shared" si="66"/>
        <v xml:space="preserve"> </v>
      </c>
      <c r="I48" s="160">
        <v>51</v>
      </c>
      <c r="J48" s="195" t="s">
        <v>17</v>
      </c>
      <c r="K48" s="162" t="str">
        <f t="shared" ref="K48:K68" si="127">VLOOKUP($I48,ngsa0407,17,FALSE)</f>
        <v xml:space="preserve"> </v>
      </c>
      <c r="L48" s="162" t="str">
        <f t="shared" ref="L48:L68" si="128">VLOOKUP($I48,ngsa0412,17,FALSE)</f>
        <v xml:space="preserve"> </v>
      </c>
      <c r="M48" s="162" t="str">
        <f t="shared" ref="M48:M68" si="129">VLOOKUP($I48,ngsa0415,17,FALSE)</f>
        <v xml:space="preserve"> </v>
      </c>
      <c r="N48" s="162" t="str">
        <f t="shared" ref="N48:N68" si="130">VLOOKUP($I48,ngsa0416,17,FALSE)</f>
        <v xml:space="preserve"> </v>
      </c>
      <c r="O48" s="162" t="str">
        <f t="shared" ref="O48:O68" si="131">VLOOKUP($I48,ngsa0426,17,FALSE)</f>
        <v xml:space="preserve"> </v>
      </c>
      <c r="P48" s="162" t="str">
        <f t="shared" ref="P48:P68" si="132">VLOOKUP($I48,ngsa0521,17,FALSE)</f>
        <v xml:space="preserve"> </v>
      </c>
      <c r="Q48" s="162" t="str">
        <f t="shared" ref="Q48:Q68" si="133">VLOOKUP($I48,ngsa0527,17,FALSE)</f>
        <v xml:space="preserve"> </v>
      </c>
      <c r="R48" s="162" t="str">
        <f t="shared" ref="R48:R68" si="134">VLOOKUP($I48,ngsa0528,17,FALSE)</f>
        <v xml:space="preserve"> </v>
      </c>
      <c r="S48" s="162" t="str">
        <f t="shared" ref="S48:S68" si="135">VLOOKUP($I48,ngsa0603,17,FALSE)</f>
        <v xml:space="preserve"> </v>
      </c>
      <c r="T48" s="162" t="str">
        <f t="shared" ref="T48:T68" si="136">VLOOKUP($I48,ngsa0604,17,FALSE)</f>
        <v xml:space="preserve"> </v>
      </c>
      <c r="U48" s="162" t="str">
        <f t="shared" ref="U48:U68" si="137">VLOOKUP($I48,ngsa0612,17,FALSE)</f>
        <v xml:space="preserve"> </v>
      </c>
      <c r="V48" s="172" t="str">
        <f t="shared" si="122"/>
        <v xml:space="preserve"> </v>
      </c>
      <c r="W48" s="185"/>
      <c r="X48" s="178" t="str">
        <f t="shared" ref="X48:X68" si="138">VLOOKUP($I48,ngsa0407,18,FALSE)</f>
        <v>X</v>
      </c>
      <c r="Y48" s="162" t="str">
        <f t="shared" ref="Y48:Y68" si="139">VLOOKUP($I48,ngsa0412,18,FALSE)</f>
        <v>X</v>
      </c>
      <c r="Z48" s="162" t="str">
        <f t="shared" ref="Z48:Z68" si="140">VLOOKUP($I48,ngsa0415,18,FALSE)</f>
        <v>X</v>
      </c>
      <c r="AA48" s="162" t="str">
        <f t="shared" ref="AA48:AA68" si="141">VLOOKUP($I48,ngsa0416,18,FALSE)</f>
        <v>X</v>
      </c>
      <c r="AB48" s="162" t="str">
        <f t="shared" ref="AB48:AB68" si="142">VLOOKUP($I48,ngsa0426,18,FALSE)</f>
        <v>X</v>
      </c>
      <c r="AC48" s="162" t="str">
        <f t="shared" ref="AC48:AC68" si="143">VLOOKUP($I48,ngsa0521,18,FALSE)</f>
        <v>X</v>
      </c>
      <c r="AD48" s="162" t="str">
        <f t="shared" ref="AD48:AD68" si="144">VLOOKUP($I48,ngsa0527,18,FALSE)</f>
        <v>X</v>
      </c>
      <c r="AE48" s="162" t="str">
        <f t="shared" ref="AE48:AE68" si="145">VLOOKUP($I48,ngsa0528,18,FALSE)</f>
        <v>X</v>
      </c>
      <c r="AF48" s="162" t="str">
        <f t="shared" ref="AF48:AF68" si="146">VLOOKUP($I48,ngsa0603,18,FALSE)</f>
        <v>X</v>
      </c>
      <c r="AG48" s="162" t="str">
        <f t="shared" ref="AG48:AG68" si="147">VLOOKUP($I48,ngsa0604,18,FALSE)</f>
        <v>X</v>
      </c>
      <c r="AH48" s="162" t="str">
        <f t="shared" ref="AH48:AH68" si="148">VLOOKUP($I48,ngsa0612,18,FALSE)</f>
        <v>X</v>
      </c>
      <c r="AI48" s="172">
        <f t="shared" si="123"/>
        <v>11</v>
      </c>
      <c r="AJ48" s="185"/>
      <c r="AK48" s="160">
        <v>51</v>
      </c>
      <c r="AL48" s="195" t="s">
        <v>17</v>
      </c>
      <c r="AM48" s="178" t="str">
        <f t="shared" ref="AM48:AM68" si="149">VLOOKUP($I48,ngsa0407,19,FALSE)</f>
        <v xml:space="preserve"> </v>
      </c>
      <c r="AN48" s="162" t="str">
        <f t="shared" ref="AN48:AN68" si="150">VLOOKUP($I48,ngsa0412,19,FALSE)</f>
        <v xml:space="preserve"> </v>
      </c>
      <c r="AO48" s="162" t="str">
        <f t="shared" ref="AO48:AO68" si="151">VLOOKUP($I48,ngsa0415,19,FALSE)</f>
        <v xml:space="preserve"> </v>
      </c>
      <c r="AP48" s="162" t="str">
        <f t="shared" ref="AP48:AP68" si="152">VLOOKUP($I48,ngsa0416,19,FALSE)</f>
        <v xml:space="preserve"> </v>
      </c>
      <c r="AQ48" s="162" t="str">
        <f t="shared" ref="AQ48:AQ68" si="153">VLOOKUP($I48,ngsa0426,19,FALSE)</f>
        <v xml:space="preserve"> </v>
      </c>
      <c r="AR48" s="162" t="str">
        <f t="shared" ref="AR48:AR68" si="154">VLOOKUP($I48,ngsa0521,19,FALSE)</f>
        <v xml:space="preserve"> </v>
      </c>
      <c r="AS48" s="162" t="str">
        <f t="shared" ref="AS48:AS68" si="155">VLOOKUP($I48,ngsa0527,19,FALSE)</f>
        <v xml:space="preserve"> </v>
      </c>
      <c r="AT48" s="162" t="str">
        <f t="shared" ref="AT48:AT68" si="156">VLOOKUP($I48,ngsa0528,19,FALSE)</f>
        <v xml:space="preserve"> </v>
      </c>
      <c r="AU48" s="162" t="str">
        <f t="shared" ref="AU48:AU68" si="157">VLOOKUP($I48,ngsa0603,19,FALSE)</f>
        <v xml:space="preserve"> </v>
      </c>
      <c r="AV48" s="162" t="str">
        <f t="shared" ref="AV48:AV68" si="158">VLOOKUP($I48,ngsa0604,19,FALSE)</f>
        <v xml:space="preserve"> </v>
      </c>
      <c r="AW48" s="162" t="str">
        <f t="shared" ref="AW48:AW68" si="159">VLOOKUP($I48,ngsa0612,19,FALSE)</f>
        <v xml:space="preserve"> </v>
      </c>
      <c r="AX48" s="172" t="str">
        <f t="shared" si="124"/>
        <v xml:space="preserve"> </v>
      </c>
      <c r="AY48" s="185"/>
      <c r="AZ48" s="178" t="str">
        <f t="shared" ref="AZ48:AZ68" si="160">VLOOKUP($I48,ngsa0407,20,FALSE)</f>
        <v>X</v>
      </c>
      <c r="BA48" s="162" t="str">
        <f t="shared" ref="BA48:BA68" si="161">VLOOKUP($I48,ngsa0412,20,FALSE)</f>
        <v>X</v>
      </c>
      <c r="BB48" s="162" t="str">
        <f t="shared" ref="BB48:BB68" si="162">VLOOKUP($I48,ngsa0415,20,FALSE)</f>
        <v>X</v>
      </c>
      <c r="BC48" s="162" t="str">
        <f t="shared" ref="BC48:BC68" si="163">VLOOKUP($I48,ngsa0416,20,FALSE)</f>
        <v>X</v>
      </c>
      <c r="BD48" s="162" t="str">
        <f t="shared" ref="BD48:BD68" si="164">VLOOKUP($I48,ngsa0426,20,FALSE)</f>
        <v>X</v>
      </c>
      <c r="BE48" s="162" t="str">
        <f t="shared" ref="BE48:BE68" si="165">VLOOKUP($I48,ngsa0521,20,FALSE)</f>
        <v>X</v>
      </c>
      <c r="BF48" s="162" t="str">
        <f t="shared" ref="BF48:BF68" si="166">VLOOKUP($I48,ngsa0527,20,FALSE)</f>
        <v>X</v>
      </c>
      <c r="BG48" s="162" t="str">
        <f t="shared" ref="BG48:BG68" si="167">VLOOKUP($I48,ngsa0528,20,FALSE)</f>
        <v>X</v>
      </c>
      <c r="BH48" s="162" t="str">
        <f t="shared" ref="BH48:BH68" si="168">VLOOKUP($I48,ngsa0603,20,FALSE)</f>
        <v>X</v>
      </c>
      <c r="BI48" s="162" t="str">
        <f t="shared" ref="BI48:BI68" si="169">VLOOKUP($I48,ngsa0604,20,FALSE)</f>
        <v>X</v>
      </c>
      <c r="BJ48" s="162" t="str">
        <f t="shared" ref="BJ48:BJ68" si="170">VLOOKUP($I48,ngsa0612,20,FALSE)</f>
        <v>X</v>
      </c>
      <c r="BK48" s="172">
        <f t="shared" si="125"/>
        <v>11</v>
      </c>
      <c r="BL48" s="185"/>
      <c r="BM48" s="160">
        <v>51</v>
      </c>
      <c r="BN48" s="195" t="s">
        <v>17</v>
      </c>
      <c r="BO48" s="178" t="str">
        <f t="shared" ref="BO48:BO68" si="171">VLOOKUP($I48,ngsa0407,21,FALSE)</f>
        <v>X</v>
      </c>
      <c r="BP48" s="162" t="str">
        <f t="shared" ref="BP48:BP68" si="172">VLOOKUP($I48,ngsa0412,21,FALSE)</f>
        <v>X</v>
      </c>
      <c r="BQ48" s="162" t="str">
        <f t="shared" ref="BQ48:BQ68" si="173">VLOOKUP($I48,ngsa0415,21,FALSE)</f>
        <v>X</v>
      </c>
      <c r="BR48" s="162" t="str">
        <f t="shared" ref="BR48:BR68" si="174">VLOOKUP($I48,ngsa0416,21,FALSE)</f>
        <v>X</v>
      </c>
      <c r="BS48" s="162" t="str">
        <f t="shared" ref="BS48:BS68" si="175">VLOOKUP($I48,ngsa0426,21,FALSE)</f>
        <v>X</v>
      </c>
      <c r="BT48" s="162" t="str">
        <f t="shared" ref="BT48:BT68" si="176">VLOOKUP($I48,ngsa0521,21,FALSE)</f>
        <v>X</v>
      </c>
      <c r="BU48" s="162" t="str">
        <f t="shared" ref="BU48:BU68" si="177">VLOOKUP($I48,ngsa0527,21,FALSE)</f>
        <v>X</v>
      </c>
      <c r="BV48" s="162" t="str">
        <f t="shared" ref="BV48:BV68" si="178">VLOOKUP($I48,ngsa0528,21,FALSE)</f>
        <v>X</v>
      </c>
      <c r="BW48" s="162" t="str">
        <f t="shared" ref="BW48:BW68" si="179">VLOOKUP($I48,ngsa0603,21,FALSE)</f>
        <v>X</v>
      </c>
      <c r="BX48" s="162" t="str">
        <f t="shared" ref="BX48:BX68" si="180">VLOOKUP($I48,ngsa0604,21,FALSE)</f>
        <v>X</v>
      </c>
      <c r="BY48" s="162" t="str">
        <f t="shared" ref="BY48:BY68" si="181">VLOOKUP($I48,ngsa0612,21,FALSE)</f>
        <v>X</v>
      </c>
      <c r="BZ48" s="172">
        <f t="shared" si="126"/>
        <v>11</v>
      </c>
      <c r="CA48" s="189"/>
    </row>
    <row r="49" spans="1:79" ht="15.75" x14ac:dyDescent="0.25">
      <c r="A49" s="199">
        <f t="shared" si="60"/>
        <v>117</v>
      </c>
      <c r="B49" s="199" t="str">
        <f t="shared" si="61"/>
        <v>NGSA</v>
      </c>
      <c r="C49" s="56" t="str">
        <f t="shared" si="62"/>
        <v xml:space="preserve"> </v>
      </c>
      <c r="D49" s="53" t="str">
        <f t="shared" si="63"/>
        <v xml:space="preserve"> </v>
      </c>
      <c r="E49" s="39" t="str">
        <f t="shared" si="64"/>
        <v xml:space="preserve"> </v>
      </c>
      <c r="F49" s="39" t="str">
        <f t="shared" si="65"/>
        <v xml:space="preserve"> </v>
      </c>
      <c r="G49" s="210" t="str">
        <f t="shared" si="66"/>
        <v xml:space="preserve"> </v>
      </c>
      <c r="I49" s="160">
        <v>117</v>
      </c>
      <c r="J49" s="195" t="s">
        <v>17</v>
      </c>
      <c r="K49" s="162" t="str">
        <f t="shared" si="127"/>
        <v xml:space="preserve"> </v>
      </c>
      <c r="L49" s="162" t="str">
        <f t="shared" si="128"/>
        <v xml:space="preserve"> </v>
      </c>
      <c r="M49" s="162" t="str">
        <f t="shared" si="129"/>
        <v xml:space="preserve"> </v>
      </c>
      <c r="N49" s="162" t="str">
        <f t="shared" si="130"/>
        <v xml:space="preserve"> </v>
      </c>
      <c r="O49" s="162" t="str">
        <f t="shared" si="131"/>
        <v xml:space="preserve"> </v>
      </c>
      <c r="P49" s="162" t="e">
        <f t="shared" si="132"/>
        <v>#N/A</v>
      </c>
      <c r="Q49" s="162" t="e">
        <f t="shared" si="133"/>
        <v>#N/A</v>
      </c>
      <c r="R49" s="162" t="e">
        <f t="shared" si="134"/>
        <v>#N/A</v>
      </c>
      <c r="S49" s="162" t="e">
        <f t="shared" si="135"/>
        <v>#N/A</v>
      </c>
      <c r="T49" s="162" t="e">
        <f t="shared" si="136"/>
        <v>#N/A</v>
      </c>
      <c r="U49" s="162" t="e">
        <f t="shared" si="137"/>
        <v>#N/A</v>
      </c>
      <c r="V49" s="172" t="str">
        <f t="shared" si="122"/>
        <v xml:space="preserve"> </v>
      </c>
      <c r="W49" s="185"/>
      <c r="X49" s="178" t="str">
        <f t="shared" si="138"/>
        <v xml:space="preserve"> </v>
      </c>
      <c r="Y49" s="162" t="str">
        <f t="shared" si="139"/>
        <v xml:space="preserve"> </v>
      </c>
      <c r="Z49" s="162" t="str">
        <f t="shared" si="140"/>
        <v xml:space="preserve"> </v>
      </c>
      <c r="AA49" s="162" t="str">
        <f t="shared" si="141"/>
        <v xml:space="preserve"> </v>
      </c>
      <c r="AB49" s="162" t="str">
        <f t="shared" si="142"/>
        <v xml:space="preserve"> </v>
      </c>
      <c r="AC49" s="162" t="e">
        <f t="shared" si="143"/>
        <v>#N/A</v>
      </c>
      <c r="AD49" s="162" t="e">
        <f t="shared" si="144"/>
        <v>#N/A</v>
      </c>
      <c r="AE49" s="162" t="e">
        <f t="shared" si="145"/>
        <v>#N/A</v>
      </c>
      <c r="AF49" s="162" t="e">
        <f t="shared" si="146"/>
        <v>#N/A</v>
      </c>
      <c r="AG49" s="162" t="e">
        <f t="shared" si="147"/>
        <v>#N/A</v>
      </c>
      <c r="AH49" s="162" t="e">
        <f t="shared" si="148"/>
        <v>#N/A</v>
      </c>
      <c r="AI49" s="172" t="str">
        <f t="shared" si="123"/>
        <v xml:space="preserve"> </v>
      </c>
      <c r="AJ49" s="185"/>
      <c r="AK49" s="160">
        <v>117</v>
      </c>
      <c r="AL49" s="195" t="s">
        <v>17</v>
      </c>
      <c r="AM49" s="178" t="str">
        <f t="shared" si="149"/>
        <v xml:space="preserve"> </v>
      </c>
      <c r="AN49" s="162" t="str">
        <f t="shared" si="150"/>
        <v xml:space="preserve"> </v>
      </c>
      <c r="AO49" s="162" t="str">
        <f t="shared" si="151"/>
        <v xml:space="preserve"> </v>
      </c>
      <c r="AP49" s="162" t="str">
        <f t="shared" si="152"/>
        <v xml:space="preserve"> </v>
      </c>
      <c r="AQ49" s="162" t="str">
        <f t="shared" si="153"/>
        <v xml:space="preserve"> </v>
      </c>
      <c r="AR49" s="162" t="e">
        <f t="shared" si="154"/>
        <v>#N/A</v>
      </c>
      <c r="AS49" s="162" t="e">
        <f t="shared" si="155"/>
        <v>#N/A</v>
      </c>
      <c r="AT49" s="162" t="e">
        <f t="shared" si="156"/>
        <v>#N/A</v>
      </c>
      <c r="AU49" s="162" t="e">
        <f t="shared" si="157"/>
        <v>#N/A</v>
      </c>
      <c r="AV49" s="162" t="e">
        <f t="shared" si="158"/>
        <v>#N/A</v>
      </c>
      <c r="AW49" s="162" t="e">
        <f t="shared" si="159"/>
        <v>#N/A</v>
      </c>
      <c r="AX49" s="172" t="str">
        <f t="shared" si="124"/>
        <v xml:space="preserve"> </v>
      </c>
      <c r="AY49" s="185"/>
      <c r="AZ49" s="178" t="str">
        <f t="shared" si="160"/>
        <v xml:space="preserve"> </v>
      </c>
      <c r="BA49" s="162" t="str">
        <f t="shared" si="161"/>
        <v xml:space="preserve"> </v>
      </c>
      <c r="BB49" s="162" t="str">
        <f t="shared" si="162"/>
        <v xml:space="preserve"> </v>
      </c>
      <c r="BC49" s="162" t="str">
        <f t="shared" si="163"/>
        <v xml:space="preserve"> </v>
      </c>
      <c r="BD49" s="162" t="str">
        <f t="shared" si="164"/>
        <v xml:space="preserve"> </v>
      </c>
      <c r="BE49" s="162" t="e">
        <f t="shared" si="165"/>
        <v>#N/A</v>
      </c>
      <c r="BF49" s="162" t="e">
        <f t="shared" si="166"/>
        <v>#N/A</v>
      </c>
      <c r="BG49" s="162" t="e">
        <f t="shared" si="167"/>
        <v>#N/A</v>
      </c>
      <c r="BH49" s="162" t="e">
        <f t="shared" si="168"/>
        <v>#N/A</v>
      </c>
      <c r="BI49" s="162" t="e">
        <f t="shared" si="169"/>
        <v>#N/A</v>
      </c>
      <c r="BJ49" s="162" t="e">
        <f t="shared" si="170"/>
        <v>#N/A</v>
      </c>
      <c r="BK49" s="172" t="str">
        <f t="shared" si="125"/>
        <v xml:space="preserve"> </v>
      </c>
      <c r="BL49" s="185"/>
      <c r="BM49" s="160">
        <v>117</v>
      </c>
      <c r="BN49" s="195" t="s">
        <v>17</v>
      </c>
      <c r="BO49" s="178" t="str">
        <f t="shared" si="171"/>
        <v xml:space="preserve"> </v>
      </c>
      <c r="BP49" s="162" t="str">
        <f t="shared" si="172"/>
        <v xml:space="preserve"> </v>
      </c>
      <c r="BQ49" s="162" t="str">
        <f t="shared" si="173"/>
        <v xml:space="preserve"> </v>
      </c>
      <c r="BR49" s="162" t="str">
        <f t="shared" si="174"/>
        <v xml:space="preserve"> </v>
      </c>
      <c r="BS49" s="162" t="str">
        <f t="shared" si="175"/>
        <v xml:space="preserve"> </v>
      </c>
      <c r="BT49" s="162" t="e">
        <f t="shared" si="176"/>
        <v>#N/A</v>
      </c>
      <c r="BU49" s="162" t="e">
        <f t="shared" si="177"/>
        <v>#N/A</v>
      </c>
      <c r="BV49" s="162" t="e">
        <f t="shared" si="178"/>
        <v>#N/A</v>
      </c>
      <c r="BW49" s="162" t="e">
        <f t="shared" si="179"/>
        <v>#N/A</v>
      </c>
      <c r="BX49" s="162" t="e">
        <f t="shared" si="180"/>
        <v>#N/A</v>
      </c>
      <c r="BY49" s="162" t="e">
        <f t="shared" si="181"/>
        <v>#N/A</v>
      </c>
      <c r="BZ49" s="172" t="str">
        <f t="shared" si="126"/>
        <v xml:space="preserve"> </v>
      </c>
      <c r="CA49" s="189"/>
    </row>
    <row r="50" spans="1:79" ht="15.75" x14ac:dyDescent="0.25">
      <c r="A50" s="199">
        <f t="shared" si="60"/>
        <v>127</v>
      </c>
      <c r="B50" s="199" t="str">
        <f t="shared" si="61"/>
        <v>NGSA</v>
      </c>
      <c r="C50" s="56" t="str">
        <f t="shared" si="62"/>
        <v xml:space="preserve"> </v>
      </c>
      <c r="D50" s="53" t="str">
        <f t="shared" si="63"/>
        <v xml:space="preserve"> </v>
      </c>
      <c r="E50" s="39" t="str">
        <f t="shared" si="64"/>
        <v xml:space="preserve"> </v>
      </c>
      <c r="F50" s="39" t="str">
        <f t="shared" si="65"/>
        <v xml:space="preserve"> </v>
      </c>
      <c r="G50" s="210" t="str">
        <f t="shared" si="66"/>
        <v xml:space="preserve"> </v>
      </c>
      <c r="I50" s="160">
        <v>127</v>
      </c>
      <c r="J50" s="195" t="s">
        <v>17</v>
      </c>
      <c r="K50" s="162" t="str">
        <f t="shared" si="127"/>
        <v xml:space="preserve"> </v>
      </c>
      <c r="L50" s="162" t="str">
        <f t="shared" si="128"/>
        <v xml:space="preserve"> </v>
      </c>
      <c r="M50" s="162" t="str">
        <f t="shared" si="129"/>
        <v xml:space="preserve"> </v>
      </c>
      <c r="N50" s="162" t="str">
        <f t="shared" si="130"/>
        <v xml:space="preserve"> </v>
      </c>
      <c r="O50" s="162" t="str">
        <f t="shared" si="131"/>
        <v xml:space="preserve"> </v>
      </c>
      <c r="P50" s="162" t="e">
        <f t="shared" si="132"/>
        <v>#N/A</v>
      </c>
      <c r="Q50" s="162" t="e">
        <f t="shared" si="133"/>
        <v>#N/A</v>
      </c>
      <c r="R50" s="162" t="e">
        <f t="shared" si="134"/>
        <v>#N/A</v>
      </c>
      <c r="S50" s="162" t="e">
        <f t="shared" si="135"/>
        <v>#N/A</v>
      </c>
      <c r="T50" s="162" t="e">
        <f t="shared" si="136"/>
        <v>#N/A</v>
      </c>
      <c r="U50" s="162" t="e">
        <f t="shared" si="137"/>
        <v>#N/A</v>
      </c>
      <c r="V50" s="172" t="str">
        <f t="shared" si="122"/>
        <v xml:space="preserve"> </v>
      </c>
      <c r="W50" s="185"/>
      <c r="X50" s="178" t="str">
        <f t="shared" si="138"/>
        <v xml:space="preserve"> </v>
      </c>
      <c r="Y50" s="162" t="str">
        <f t="shared" si="139"/>
        <v xml:space="preserve"> </v>
      </c>
      <c r="Z50" s="162" t="str">
        <f t="shared" si="140"/>
        <v xml:space="preserve"> </v>
      </c>
      <c r="AA50" s="162" t="str">
        <f t="shared" si="141"/>
        <v xml:space="preserve"> </v>
      </c>
      <c r="AB50" s="162" t="str">
        <f t="shared" si="142"/>
        <v xml:space="preserve"> </v>
      </c>
      <c r="AC50" s="162" t="e">
        <f t="shared" si="143"/>
        <v>#N/A</v>
      </c>
      <c r="AD50" s="162" t="e">
        <f t="shared" si="144"/>
        <v>#N/A</v>
      </c>
      <c r="AE50" s="162" t="e">
        <f t="shared" si="145"/>
        <v>#N/A</v>
      </c>
      <c r="AF50" s="162" t="e">
        <f t="shared" si="146"/>
        <v>#N/A</v>
      </c>
      <c r="AG50" s="162" t="e">
        <f t="shared" si="147"/>
        <v>#N/A</v>
      </c>
      <c r="AH50" s="162" t="e">
        <f t="shared" si="148"/>
        <v>#N/A</v>
      </c>
      <c r="AI50" s="172" t="str">
        <f t="shared" si="123"/>
        <v xml:space="preserve"> </v>
      </c>
      <c r="AJ50" s="185"/>
      <c r="AK50" s="160">
        <v>127</v>
      </c>
      <c r="AL50" s="195" t="s">
        <v>17</v>
      </c>
      <c r="AM50" s="178" t="str">
        <f t="shared" si="149"/>
        <v xml:space="preserve"> </v>
      </c>
      <c r="AN50" s="162" t="str">
        <f t="shared" si="150"/>
        <v xml:space="preserve"> </v>
      </c>
      <c r="AO50" s="162" t="str">
        <f t="shared" si="151"/>
        <v xml:space="preserve"> </v>
      </c>
      <c r="AP50" s="162" t="str">
        <f t="shared" si="152"/>
        <v xml:space="preserve"> </v>
      </c>
      <c r="AQ50" s="162" t="str">
        <f t="shared" si="153"/>
        <v xml:space="preserve"> </v>
      </c>
      <c r="AR50" s="162" t="e">
        <f t="shared" si="154"/>
        <v>#N/A</v>
      </c>
      <c r="AS50" s="162" t="e">
        <f t="shared" si="155"/>
        <v>#N/A</v>
      </c>
      <c r="AT50" s="162" t="e">
        <f t="shared" si="156"/>
        <v>#N/A</v>
      </c>
      <c r="AU50" s="162" t="e">
        <f t="shared" si="157"/>
        <v>#N/A</v>
      </c>
      <c r="AV50" s="162" t="e">
        <f t="shared" si="158"/>
        <v>#N/A</v>
      </c>
      <c r="AW50" s="162" t="e">
        <f t="shared" si="159"/>
        <v>#N/A</v>
      </c>
      <c r="AX50" s="172" t="str">
        <f t="shared" si="124"/>
        <v xml:space="preserve"> </v>
      </c>
      <c r="AY50" s="185"/>
      <c r="AZ50" s="178" t="str">
        <f t="shared" si="160"/>
        <v xml:space="preserve"> </v>
      </c>
      <c r="BA50" s="162" t="str">
        <f t="shared" si="161"/>
        <v xml:space="preserve"> </v>
      </c>
      <c r="BB50" s="162" t="str">
        <f t="shared" si="162"/>
        <v xml:space="preserve"> </v>
      </c>
      <c r="BC50" s="162" t="str">
        <f t="shared" si="163"/>
        <v xml:space="preserve"> </v>
      </c>
      <c r="BD50" s="162" t="str">
        <f t="shared" si="164"/>
        <v xml:space="preserve"> </v>
      </c>
      <c r="BE50" s="162" t="e">
        <f t="shared" si="165"/>
        <v>#N/A</v>
      </c>
      <c r="BF50" s="162" t="e">
        <f t="shared" si="166"/>
        <v>#N/A</v>
      </c>
      <c r="BG50" s="162" t="e">
        <f t="shared" si="167"/>
        <v>#N/A</v>
      </c>
      <c r="BH50" s="162" t="e">
        <f t="shared" si="168"/>
        <v>#N/A</v>
      </c>
      <c r="BI50" s="162" t="e">
        <f t="shared" si="169"/>
        <v>#N/A</v>
      </c>
      <c r="BJ50" s="162" t="e">
        <f t="shared" si="170"/>
        <v>#N/A</v>
      </c>
      <c r="BK50" s="172" t="str">
        <f t="shared" si="125"/>
        <v xml:space="preserve"> </v>
      </c>
      <c r="BL50" s="185"/>
      <c r="BM50" s="160">
        <v>127</v>
      </c>
      <c r="BN50" s="195" t="s">
        <v>17</v>
      </c>
      <c r="BO50" s="178" t="str">
        <f t="shared" si="171"/>
        <v xml:space="preserve"> </v>
      </c>
      <c r="BP50" s="162" t="str">
        <f t="shared" si="172"/>
        <v xml:space="preserve"> </v>
      </c>
      <c r="BQ50" s="162" t="str">
        <f t="shared" si="173"/>
        <v xml:space="preserve"> </v>
      </c>
      <c r="BR50" s="162" t="str">
        <f t="shared" si="174"/>
        <v xml:space="preserve"> </v>
      </c>
      <c r="BS50" s="162" t="str">
        <f t="shared" si="175"/>
        <v xml:space="preserve"> </v>
      </c>
      <c r="BT50" s="162" t="e">
        <f t="shared" si="176"/>
        <v>#N/A</v>
      </c>
      <c r="BU50" s="162" t="e">
        <f t="shared" si="177"/>
        <v>#N/A</v>
      </c>
      <c r="BV50" s="162" t="e">
        <f t="shared" si="178"/>
        <v>#N/A</v>
      </c>
      <c r="BW50" s="162" t="e">
        <f t="shared" si="179"/>
        <v>#N/A</v>
      </c>
      <c r="BX50" s="162" t="e">
        <f t="shared" si="180"/>
        <v>#N/A</v>
      </c>
      <c r="BY50" s="162" t="e">
        <f t="shared" si="181"/>
        <v>#N/A</v>
      </c>
      <c r="BZ50" s="172" t="str">
        <f t="shared" si="126"/>
        <v xml:space="preserve"> </v>
      </c>
      <c r="CA50" s="189"/>
    </row>
    <row r="51" spans="1:79" ht="15.75" x14ac:dyDescent="0.25">
      <c r="A51" s="199">
        <f t="shared" si="60"/>
        <v>128</v>
      </c>
      <c r="B51" s="199" t="str">
        <f t="shared" si="61"/>
        <v>NGSA</v>
      </c>
      <c r="C51" s="56" t="str">
        <f t="shared" si="62"/>
        <v xml:space="preserve"> </v>
      </c>
      <c r="D51" s="53" t="str">
        <f t="shared" si="63"/>
        <v xml:space="preserve"> </v>
      </c>
      <c r="E51" s="39" t="str">
        <f t="shared" si="64"/>
        <v xml:space="preserve"> </v>
      </c>
      <c r="F51" s="39" t="str">
        <f t="shared" si="65"/>
        <v xml:space="preserve"> </v>
      </c>
      <c r="G51" s="210" t="str">
        <f t="shared" si="66"/>
        <v xml:space="preserve"> </v>
      </c>
      <c r="I51" s="160">
        <v>128</v>
      </c>
      <c r="J51" s="195" t="s">
        <v>17</v>
      </c>
      <c r="K51" s="162" t="str">
        <f t="shared" si="127"/>
        <v xml:space="preserve"> </v>
      </c>
      <c r="L51" s="162" t="str">
        <f t="shared" si="128"/>
        <v xml:space="preserve"> </v>
      </c>
      <c r="M51" s="162" t="str">
        <f t="shared" si="129"/>
        <v xml:space="preserve"> </v>
      </c>
      <c r="N51" s="162" t="str">
        <f t="shared" si="130"/>
        <v xml:space="preserve"> </v>
      </c>
      <c r="O51" s="162" t="str">
        <f t="shared" si="131"/>
        <v xml:space="preserve"> </v>
      </c>
      <c r="P51" s="162" t="e">
        <f t="shared" si="132"/>
        <v>#N/A</v>
      </c>
      <c r="Q51" s="162" t="e">
        <f t="shared" si="133"/>
        <v>#N/A</v>
      </c>
      <c r="R51" s="162" t="e">
        <f t="shared" si="134"/>
        <v>#N/A</v>
      </c>
      <c r="S51" s="162" t="e">
        <f t="shared" si="135"/>
        <v>#N/A</v>
      </c>
      <c r="T51" s="162" t="e">
        <f t="shared" si="136"/>
        <v>#N/A</v>
      </c>
      <c r="U51" s="162" t="e">
        <f t="shared" si="137"/>
        <v>#N/A</v>
      </c>
      <c r="V51" s="172" t="str">
        <f t="shared" si="122"/>
        <v xml:space="preserve"> </v>
      </c>
      <c r="W51" s="185"/>
      <c r="X51" s="178" t="str">
        <f t="shared" si="138"/>
        <v xml:space="preserve"> </v>
      </c>
      <c r="Y51" s="162" t="str">
        <f t="shared" si="139"/>
        <v xml:space="preserve"> </v>
      </c>
      <c r="Z51" s="162" t="str">
        <f t="shared" si="140"/>
        <v xml:space="preserve"> </v>
      </c>
      <c r="AA51" s="162" t="str">
        <f t="shared" si="141"/>
        <v xml:space="preserve"> </v>
      </c>
      <c r="AB51" s="162" t="str">
        <f t="shared" si="142"/>
        <v xml:space="preserve"> </v>
      </c>
      <c r="AC51" s="162" t="e">
        <f t="shared" si="143"/>
        <v>#N/A</v>
      </c>
      <c r="AD51" s="162" t="e">
        <f t="shared" si="144"/>
        <v>#N/A</v>
      </c>
      <c r="AE51" s="162" t="e">
        <f t="shared" si="145"/>
        <v>#N/A</v>
      </c>
      <c r="AF51" s="162" t="e">
        <f t="shared" si="146"/>
        <v>#N/A</v>
      </c>
      <c r="AG51" s="162" t="e">
        <f t="shared" si="147"/>
        <v>#N/A</v>
      </c>
      <c r="AH51" s="162" t="e">
        <f t="shared" si="148"/>
        <v>#N/A</v>
      </c>
      <c r="AI51" s="172" t="str">
        <f t="shared" si="123"/>
        <v xml:space="preserve"> </v>
      </c>
      <c r="AJ51" s="185"/>
      <c r="AK51" s="160">
        <v>128</v>
      </c>
      <c r="AL51" s="195" t="s">
        <v>17</v>
      </c>
      <c r="AM51" s="178" t="str">
        <f t="shared" si="149"/>
        <v xml:space="preserve"> </v>
      </c>
      <c r="AN51" s="162" t="str">
        <f t="shared" si="150"/>
        <v xml:space="preserve"> </v>
      </c>
      <c r="AO51" s="162" t="str">
        <f t="shared" si="151"/>
        <v xml:space="preserve"> </v>
      </c>
      <c r="AP51" s="162" t="str">
        <f t="shared" si="152"/>
        <v xml:space="preserve"> </v>
      </c>
      <c r="AQ51" s="162" t="str">
        <f t="shared" si="153"/>
        <v xml:space="preserve"> </v>
      </c>
      <c r="AR51" s="162" t="e">
        <f t="shared" si="154"/>
        <v>#N/A</v>
      </c>
      <c r="AS51" s="162" t="e">
        <f t="shared" si="155"/>
        <v>#N/A</v>
      </c>
      <c r="AT51" s="162" t="e">
        <f t="shared" si="156"/>
        <v>#N/A</v>
      </c>
      <c r="AU51" s="162" t="e">
        <f t="shared" si="157"/>
        <v>#N/A</v>
      </c>
      <c r="AV51" s="162" t="e">
        <f t="shared" si="158"/>
        <v>#N/A</v>
      </c>
      <c r="AW51" s="162" t="e">
        <f t="shared" si="159"/>
        <v>#N/A</v>
      </c>
      <c r="AX51" s="172" t="str">
        <f t="shared" si="124"/>
        <v xml:space="preserve"> </v>
      </c>
      <c r="AY51" s="185"/>
      <c r="AZ51" s="178" t="str">
        <f t="shared" si="160"/>
        <v xml:space="preserve"> </v>
      </c>
      <c r="BA51" s="162" t="str">
        <f t="shared" si="161"/>
        <v xml:space="preserve"> </v>
      </c>
      <c r="BB51" s="162" t="str">
        <f t="shared" si="162"/>
        <v xml:space="preserve"> </v>
      </c>
      <c r="BC51" s="162" t="str">
        <f t="shared" si="163"/>
        <v xml:space="preserve"> </v>
      </c>
      <c r="BD51" s="162" t="str">
        <f t="shared" si="164"/>
        <v xml:space="preserve"> </v>
      </c>
      <c r="BE51" s="162" t="e">
        <f t="shared" si="165"/>
        <v>#N/A</v>
      </c>
      <c r="BF51" s="162" t="e">
        <f t="shared" si="166"/>
        <v>#N/A</v>
      </c>
      <c r="BG51" s="162" t="e">
        <f t="shared" si="167"/>
        <v>#N/A</v>
      </c>
      <c r="BH51" s="162" t="e">
        <f t="shared" si="168"/>
        <v>#N/A</v>
      </c>
      <c r="BI51" s="162" t="e">
        <f t="shared" si="169"/>
        <v>#N/A</v>
      </c>
      <c r="BJ51" s="162" t="e">
        <f t="shared" si="170"/>
        <v>#N/A</v>
      </c>
      <c r="BK51" s="172" t="str">
        <f t="shared" si="125"/>
        <v xml:space="preserve"> </v>
      </c>
      <c r="BL51" s="185"/>
      <c r="BM51" s="160">
        <v>128</v>
      </c>
      <c r="BN51" s="195" t="s">
        <v>17</v>
      </c>
      <c r="BO51" s="178" t="str">
        <f t="shared" si="171"/>
        <v xml:space="preserve"> </v>
      </c>
      <c r="BP51" s="162" t="str">
        <f t="shared" si="172"/>
        <v xml:space="preserve"> </v>
      </c>
      <c r="BQ51" s="162" t="str">
        <f t="shared" si="173"/>
        <v xml:space="preserve"> </v>
      </c>
      <c r="BR51" s="162" t="str">
        <f t="shared" si="174"/>
        <v xml:space="preserve"> </v>
      </c>
      <c r="BS51" s="162" t="str">
        <f t="shared" si="175"/>
        <v xml:space="preserve"> </v>
      </c>
      <c r="BT51" s="162" t="e">
        <f t="shared" si="176"/>
        <v>#N/A</v>
      </c>
      <c r="BU51" s="162" t="e">
        <f t="shared" si="177"/>
        <v>#N/A</v>
      </c>
      <c r="BV51" s="162" t="e">
        <f t="shared" si="178"/>
        <v>#N/A</v>
      </c>
      <c r="BW51" s="162" t="e">
        <f t="shared" si="179"/>
        <v>#N/A</v>
      </c>
      <c r="BX51" s="162" t="e">
        <f t="shared" si="180"/>
        <v>#N/A</v>
      </c>
      <c r="BY51" s="162" t="e">
        <f t="shared" si="181"/>
        <v>#N/A</v>
      </c>
      <c r="BZ51" s="172" t="str">
        <f t="shared" si="126"/>
        <v xml:space="preserve"> </v>
      </c>
      <c r="CA51" s="189"/>
    </row>
    <row r="52" spans="1:79" ht="15.75" x14ac:dyDescent="0.25">
      <c r="A52" s="199">
        <f t="shared" si="60"/>
        <v>129</v>
      </c>
      <c r="B52" s="199" t="str">
        <f t="shared" si="61"/>
        <v>NGSA</v>
      </c>
      <c r="C52" s="56" t="str">
        <f t="shared" si="62"/>
        <v xml:space="preserve"> </v>
      </c>
      <c r="D52" s="53" t="str">
        <f t="shared" si="63"/>
        <v xml:space="preserve"> </v>
      </c>
      <c r="E52" s="39" t="str">
        <f t="shared" si="64"/>
        <v xml:space="preserve"> </v>
      </c>
      <c r="F52" s="39" t="str">
        <f t="shared" si="65"/>
        <v xml:space="preserve"> </v>
      </c>
      <c r="G52" s="210" t="str">
        <f t="shared" si="66"/>
        <v xml:space="preserve"> </v>
      </c>
      <c r="I52" s="160">
        <v>129</v>
      </c>
      <c r="J52" s="195" t="s">
        <v>17</v>
      </c>
      <c r="K52" s="162" t="str">
        <f t="shared" si="127"/>
        <v xml:space="preserve"> </v>
      </c>
      <c r="L52" s="162" t="str">
        <f t="shared" si="128"/>
        <v xml:space="preserve"> </v>
      </c>
      <c r="M52" s="162" t="str">
        <f t="shared" si="129"/>
        <v xml:space="preserve"> </v>
      </c>
      <c r="N52" s="162" t="str">
        <f t="shared" si="130"/>
        <v xml:space="preserve"> </v>
      </c>
      <c r="O52" s="162" t="str">
        <f t="shared" si="131"/>
        <v xml:space="preserve"> </v>
      </c>
      <c r="P52" s="162" t="e">
        <f t="shared" si="132"/>
        <v>#N/A</v>
      </c>
      <c r="Q52" s="162" t="e">
        <f t="shared" si="133"/>
        <v>#N/A</v>
      </c>
      <c r="R52" s="162" t="e">
        <f t="shared" si="134"/>
        <v>#N/A</v>
      </c>
      <c r="S52" s="162" t="e">
        <f t="shared" si="135"/>
        <v>#N/A</v>
      </c>
      <c r="T52" s="162" t="e">
        <f t="shared" si="136"/>
        <v>#N/A</v>
      </c>
      <c r="U52" s="162" t="e">
        <f t="shared" si="137"/>
        <v>#N/A</v>
      </c>
      <c r="V52" s="172" t="str">
        <f t="shared" si="122"/>
        <v xml:space="preserve"> </v>
      </c>
      <c r="W52" s="185"/>
      <c r="X52" s="178" t="str">
        <f t="shared" si="138"/>
        <v xml:space="preserve"> </v>
      </c>
      <c r="Y52" s="162" t="str">
        <f t="shared" si="139"/>
        <v xml:space="preserve"> </v>
      </c>
      <c r="Z52" s="162" t="str">
        <f t="shared" si="140"/>
        <v xml:space="preserve"> </v>
      </c>
      <c r="AA52" s="162" t="str">
        <f t="shared" si="141"/>
        <v xml:space="preserve"> </v>
      </c>
      <c r="AB52" s="162" t="str">
        <f t="shared" si="142"/>
        <v xml:space="preserve"> </v>
      </c>
      <c r="AC52" s="162" t="e">
        <f t="shared" si="143"/>
        <v>#N/A</v>
      </c>
      <c r="AD52" s="162" t="e">
        <f t="shared" si="144"/>
        <v>#N/A</v>
      </c>
      <c r="AE52" s="162" t="e">
        <f t="shared" si="145"/>
        <v>#N/A</v>
      </c>
      <c r="AF52" s="162" t="e">
        <f t="shared" si="146"/>
        <v>#N/A</v>
      </c>
      <c r="AG52" s="162" t="e">
        <f t="shared" si="147"/>
        <v>#N/A</v>
      </c>
      <c r="AH52" s="162" t="e">
        <f t="shared" si="148"/>
        <v>#N/A</v>
      </c>
      <c r="AI52" s="172" t="str">
        <f t="shared" si="123"/>
        <v xml:space="preserve"> </v>
      </c>
      <c r="AJ52" s="185"/>
      <c r="AK52" s="160">
        <v>129</v>
      </c>
      <c r="AL52" s="195" t="s">
        <v>17</v>
      </c>
      <c r="AM52" s="178" t="str">
        <f t="shared" si="149"/>
        <v xml:space="preserve"> </v>
      </c>
      <c r="AN52" s="162" t="str">
        <f t="shared" si="150"/>
        <v xml:space="preserve"> </v>
      </c>
      <c r="AO52" s="162" t="str">
        <f t="shared" si="151"/>
        <v xml:space="preserve"> </v>
      </c>
      <c r="AP52" s="162" t="str">
        <f t="shared" si="152"/>
        <v xml:space="preserve"> </v>
      </c>
      <c r="AQ52" s="162" t="str">
        <f t="shared" si="153"/>
        <v xml:space="preserve"> </v>
      </c>
      <c r="AR52" s="162" t="e">
        <f t="shared" si="154"/>
        <v>#N/A</v>
      </c>
      <c r="AS52" s="162" t="e">
        <f t="shared" si="155"/>
        <v>#N/A</v>
      </c>
      <c r="AT52" s="162" t="e">
        <f t="shared" si="156"/>
        <v>#N/A</v>
      </c>
      <c r="AU52" s="162" t="e">
        <f t="shared" si="157"/>
        <v>#N/A</v>
      </c>
      <c r="AV52" s="162" t="e">
        <f t="shared" si="158"/>
        <v>#N/A</v>
      </c>
      <c r="AW52" s="162" t="e">
        <f t="shared" si="159"/>
        <v>#N/A</v>
      </c>
      <c r="AX52" s="172" t="str">
        <f t="shared" si="124"/>
        <v xml:space="preserve"> </v>
      </c>
      <c r="AY52" s="185"/>
      <c r="AZ52" s="178" t="str">
        <f t="shared" si="160"/>
        <v xml:space="preserve"> </v>
      </c>
      <c r="BA52" s="162" t="str">
        <f t="shared" si="161"/>
        <v xml:space="preserve"> </v>
      </c>
      <c r="BB52" s="162" t="str">
        <f t="shared" si="162"/>
        <v xml:space="preserve"> </v>
      </c>
      <c r="BC52" s="162" t="str">
        <f t="shared" si="163"/>
        <v xml:space="preserve"> </v>
      </c>
      <c r="BD52" s="162" t="str">
        <f t="shared" si="164"/>
        <v xml:space="preserve"> </v>
      </c>
      <c r="BE52" s="162" t="e">
        <f t="shared" si="165"/>
        <v>#N/A</v>
      </c>
      <c r="BF52" s="162" t="e">
        <f t="shared" si="166"/>
        <v>#N/A</v>
      </c>
      <c r="BG52" s="162" t="e">
        <f t="shared" si="167"/>
        <v>#N/A</v>
      </c>
      <c r="BH52" s="162" t="e">
        <f t="shared" si="168"/>
        <v>#N/A</v>
      </c>
      <c r="BI52" s="162" t="e">
        <f t="shared" si="169"/>
        <v>#N/A</v>
      </c>
      <c r="BJ52" s="162" t="e">
        <f t="shared" si="170"/>
        <v>#N/A</v>
      </c>
      <c r="BK52" s="172" t="str">
        <f t="shared" si="125"/>
        <v xml:space="preserve"> </v>
      </c>
      <c r="BL52" s="185"/>
      <c r="BM52" s="160">
        <v>129</v>
      </c>
      <c r="BN52" s="195" t="s">
        <v>17</v>
      </c>
      <c r="BO52" s="178" t="str">
        <f t="shared" si="171"/>
        <v xml:space="preserve"> </v>
      </c>
      <c r="BP52" s="162" t="str">
        <f t="shared" si="172"/>
        <v xml:space="preserve"> </v>
      </c>
      <c r="BQ52" s="162" t="str">
        <f t="shared" si="173"/>
        <v xml:space="preserve"> </v>
      </c>
      <c r="BR52" s="162" t="str">
        <f t="shared" si="174"/>
        <v xml:space="preserve"> </v>
      </c>
      <c r="BS52" s="162" t="str">
        <f t="shared" si="175"/>
        <v xml:space="preserve"> </v>
      </c>
      <c r="BT52" s="162" t="e">
        <f t="shared" si="176"/>
        <v>#N/A</v>
      </c>
      <c r="BU52" s="162" t="e">
        <f t="shared" si="177"/>
        <v>#N/A</v>
      </c>
      <c r="BV52" s="162" t="e">
        <f t="shared" si="178"/>
        <v>#N/A</v>
      </c>
      <c r="BW52" s="162" t="e">
        <f t="shared" si="179"/>
        <v>#N/A</v>
      </c>
      <c r="BX52" s="162" t="e">
        <f t="shared" si="180"/>
        <v>#N/A</v>
      </c>
      <c r="BY52" s="162" t="e">
        <f t="shared" si="181"/>
        <v>#N/A</v>
      </c>
      <c r="BZ52" s="172" t="str">
        <f t="shared" si="126"/>
        <v xml:space="preserve"> </v>
      </c>
      <c r="CA52" s="189"/>
    </row>
    <row r="53" spans="1:79" ht="15.75" x14ac:dyDescent="0.25">
      <c r="A53" s="199">
        <f t="shared" si="60"/>
        <v>132</v>
      </c>
      <c r="B53" s="199" t="str">
        <f t="shared" si="61"/>
        <v>NGSA</v>
      </c>
      <c r="C53" s="56" t="str">
        <f t="shared" si="62"/>
        <v xml:space="preserve"> </v>
      </c>
      <c r="D53" s="53" t="str">
        <f t="shared" si="63"/>
        <v xml:space="preserve"> </v>
      </c>
      <c r="E53" s="39" t="str">
        <f t="shared" si="64"/>
        <v xml:space="preserve"> </v>
      </c>
      <c r="F53" s="39" t="str">
        <f t="shared" si="65"/>
        <v xml:space="preserve"> </v>
      </c>
      <c r="G53" s="210" t="str">
        <f t="shared" si="66"/>
        <v xml:space="preserve"> </v>
      </c>
      <c r="I53" s="160">
        <v>132</v>
      </c>
      <c r="J53" s="195" t="s">
        <v>17</v>
      </c>
      <c r="K53" s="162" t="str">
        <f t="shared" si="127"/>
        <v xml:space="preserve"> </v>
      </c>
      <c r="L53" s="162" t="str">
        <f t="shared" si="128"/>
        <v xml:space="preserve"> </v>
      </c>
      <c r="M53" s="162" t="str">
        <f t="shared" si="129"/>
        <v xml:space="preserve"> </v>
      </c>
      <c r="N53" s="162" t="str">
        <f t="shared" si="130"/>
        <v xml:space="preserve"> </v>
      </c>
      <c r="O53" s="162" t="str">
        <f t="shared" si="131"/>
        <v xml:space="preserve"> </v>
      </c>
      <c r="P53" s="162" t="e">
        <f t="shared" si="132"/>
        <v>#N/A</v>
      </c>
      <c r="Q53" s="162" t="e">
        <f t="shared" si="133"/>
        <v>#N/A</v>
      </c>
      <c r="R53" s="162" t="e">
        <f t="shared" si="134"/>
        <v>#N/A</v>
      </c>
      <c r="S53" s="162" t="e">
        <f t="shared" si="135"/>
        <v>#N/A</v>
      </c>
      <c r="T53" s="162" t="e">
        <f t="shared" si="136"/>
        <v>#N/A</v>
      </c>
      <c r="U53" s="162" t="e">
        <f t="shared" si="137"/>
        <v>#N/A</v>
      </c>
      <c r="V53" s="172" t="str">
        <f t="shared" si="122"/>
        <v xml:space="preserve"> </v>
      </c>
      <c r="W53" s="185"/>
      <c r="X53" s="178" t="str">
        <f t="shared" si="138"/>
        <v xml:space="preserve"> </v>
      </c>
      <c r="Y53" s="162" t="str">
        <f t="shared" si="139"/>
        <v xml:space="preserve"> </v>
      </c>
      <c r="Z53" s="162" t="str">
        <f t="shared" si="140"/>
        <v xml:space="preserve"> </v>
      </c>
      <c r="AA53" s="162" t="str">
        <f t="shared" si="141"/>
        <v xml:space="preserve"> </v>
      </c>
      <c r="AB53" s="162" t="str">
        <f t="shared" si="142"/>
        <v xml:space="preserve"> </v>
      </c>
      <c r="AC53" s="162" t="e">
        <f t="shared" si="143"/>
        <v>#N/A</v>
      </c>
      <c r="AD53" s="162" t="e">
        <f t="shared" si="144"/>
        <v>#N/A</v>
      </c>
      <c r="AE53" s="162" t="e">
        <f t="shared" si="145"/>
        <v>#N/A</v>
      </c>
      <c r="AF53" s="162" t="e">
        <f t="shared" si="146"/>
        <v>#N/A</v>
      </c>
      <c r="AG53" s="162" t="e">
        <f t="shared" si="147"/>
        <v>#N/A</v>
      </c>
      <c r="AH53" s="162" t="e">
        <f t="shared" si="148"/>
        <v>#N/A</v>
      </c>
      <c r="AI53" s="172" t="str">
        <f t="shared" si="123"/>
        <v xml:space="preserve"> </v>
      </c>
      <c r="AJ53" s="185"/>
      <c r="AK53" s="160">
        <v>132</v>
      </c>
      <c r="AL53" s="195" t="s">
        <v>17</v>
      </c>
      <c r="AM53" s="178" t="str">
        <f t="shared" si="149"/>
        <v xml:space="preserve"> </v>
      </c>
      <c r="AN53" s="162" t="str">
        <f t="shared" si="150"/>
        <v xml:space="preserve"> </v>
      </c>
      <c r="AO53" s="162" t="str">
        <f t="shared" si="151"/>
        <v xml:space="preserve"> </v>
      </c>
      <c r="AP53" s="162" t="str">
        <f t="shared" si="152"/>
        <v xml:space="preserve"> </v>
      </c>
      <c r="AQ53" s="162" t="str">
        <f t="shared" si="153"/>
        <v xml:space="preserve"> </v>
      </c>
      <c r="AR53" s="162" t="e">
        <f t="shared" si="154"/>
        <v>#N/A</v>
      </c>
      <c r="AS53" s="162" t="e">
        <f t="shared" si="155"/>
        <v>#N/A</v>
      </c>
      <c r="AT53" s="162" t="e">
        <f t="shared" si="156"/>
        <v>#N/A</v>
      </c>
      <c r="AU53" s="162" t="e">
        <f t="shared" si="157"/>
        <v>#N/A</v>
      </c>
      <c r="AV53" s="162" t="e">
        <f t="shared" si="158"/>
        <v>#N/A</v>
      </c>
      <c r="AW53" s="162" t="e">
        <f t="shared" si="159"/>
        <v>#N/A</v>
      </c>
      <c r="AX53" s="172" t="str">
        <f t="shared" si="124"/>
        <v xml:space="preserve"> </v>
      </c>
      <c r="AY53" s="185"/>
      <c r="AZ53" s="178" t="str">
        <f t="shared" si="160"/>
        <v xml:space="preserve"> </v>
      </c>
      <c r="BA53" s="162" t="str">
        <f t="shared" si="161"/>
        <v xml:space="preserve"> </v>
      </c>
      <c r="BB53" s="162" t="str">
        <f t="shared" si="162"/>
        <v xml:space="preserve"> </v>
      </c>
      <c r="BC53" s="162" t="str">
        <f t="shared" si="163"/>
        <v xml:space="preserve"> </v>
      </c>
      <c r="BD53" s="162" t="str">
        <f t="shared" si="164"/>
        <v xml:space="preserve"> </v>
      </c>
      <c r="BE53" s="162" t="e">
        <f t="shared" si="165"/>
        <v>#N/A</v>
      </c>
      <c r="BF53" s="162" t="e">
        <f t="shared" si="166"/>
        <v>#N/A</v>
      </c>
      <c r="BG53" s="162" t="e">
        <f t="shared" si="167"/>
        <v>#N/A</v>
      </c>
      <c r="BH53" s="162" t="e">
        <f t="shared" si="168"/>
        <v>#N/A</v>
      </c>
      <c r="BI53" s="162" t="e">
        <f t="shared" si="169"/>
        <v>#N/A</v>
      </c>
      <c r="BJ53" s="162" t="e">
        <f t="shared" si="170"/>
        <v>#N/A</v>
      </c>
      <c r="BK53" s="172" t="str">
        <f t="shared" si="125"/>
        <v xml:space="preserve"> </v>
      </c>
      <c r="BL53" s="185"/>
      <c r="BM53" s="160">
        <v>132</v>
      </c>
      <c r="BN53" s="195" t="s">
        <v>17</v>
      </c>
      <c r="BO53" s="178" t="str">
        <f t="shared" si="171"/>
        <v xml:space="preserve"> </v>
      </c>
      <c r="BP53" s="162" t="str">
        <f t="shared" si="172"/>
        <v xml:space="preserve"> </v>
      </c>
      <c r="BQ53" s="162" t="str">
        <f t="shared" si="173"/>
        <v xml:space="preserve"> </v>
      </c>
      <c r="BR53" s="162" t="str">
        <f t="shared" si="174"/>
        <v xml:space="preserve"> </v>
      </c>
      <c r="BS53" s="162" t="str">
        <f t="shared" si="175"/>
        <v xml:space="preserve"> </v>
      </c>
      <c r="BT53" s="162" t="e">
        <f t="shared" si="176"/>
        <v>#N/A</v>
      </c>
      <c r="BU53" s="162" t="e">
        <f t="shared" si="177"/>
        <v>#N/A</v>
      </c>
      <c r="BV53" s="162" t="e">
        <f t="shared" si="178"/>
        <v>#N/A</v>
      </c>
      <c r="BW53" s="162" t="e">
        <f t="shared" si="179"/>
        <v>#N/A</v>
      </c>
      <c r="BX53" s="162" t="e">
        <f t="shared" si="180"/>
        <v>#N/A</v>
      </c>
      <c r="BY53" s="162" t="e">
        <f t="shared" si="181"/>
        <v>#N/A</v>
      </c>
      <c r="BZ53" s="172" t="str">
        <f t="shared" si="126"/>
        <v xml:space="preserve"> </v>
      </c>
      <c r="CA53" s="189"/>
    </row>
    <row r="54" spans="1:79" ht="15.75" x14ac:dyDescent="0.25">
      <c r="A54" s="199">
        <f t="shared" si="60"/>
        <v>133</v>
      </c>
      <c r="B54" s="199" t="str">
        <f t="shared" si="61"/>
        <v>NGSA</v>
      </c>
      <c r="C54" s="56" t="str">
        <f t="shared" si="62"/>
        <v xml:space="preserve"> </v>
      </c>
      <c r="D54" s="53" t="str">
        <f t="shared" si="63"/>
        <v xml:space="preserve"> </v>
      </c>
      <c r="E54" s="39" t="str">
        <f t="shared" si="64"/>
        <v xml:space="preserve"> </v>
      </c>
      <c r="F54" s="39" t="str">
        <f t="shared" si="65"/>
        <v xml:space="preserve"> </v>
      </c>
      <c r="G54" s="210" t="str">
        <f t="shared" si="66"/>
        <v xml:space="preserve"> </v>
      </c>
      <c r="I54" s="160">
        <v>133</v>
      </c>
      <c r="J54" s="195" t="s">
        <v>17</v>
      </c>
      <c r="K54" s="162" t="str">
        <f t="shared" si="127"/>
        <v xml:space="preserve"> </v>
      </c>
      <c r="L54" s="162" t="str">
        <f t="shared" si="128"/>
        <v xml:space="preserve"> </v>
      </c>
      <c r="M54" s="162" t="str">
        <f t="shared" si="129"/>
        <v xml:space="preserve"> </v>
      </c>
      <c r="N54" s="162" t="str">
        <f t="shared" si="130"/>
        <v xml:space="preserve"> </v>
      </c>
      <c r="O54" s="162" t="str">
        <f t="shared" si="131"/>
        <v xml:space="preserve"> </v>
      </c>
      <c r="P54" s="162" t="e">
        <f t="shared" si="132"/>
        <v>#N/A</v>
      </c>
      <c r="Q54" s="162" t="e">
        <f t="shared" si="133"/>
        <v>#N/A</v>
      </c>
      <c r="R54" s="162" t="e">
        <f t="shared" si="134"/>
        <v>#N/A</v>
      </c>
      <c r="S54" s="162" t="e">
        <f t="shared" si="135"/>
        <v>#N/A</v>
      </c>
      <c r="T54" s="162" t="e">
        <f t="shared" si="136"/>
        <v>#N/A</v>
      </c>
      <c r="U54" s="162" t="e">
        <f t="shared" si="137"/>
        <v>#N/A</v>
      </c>
      <c r="V54" s="172" t="str">
        <f t="shared" si="122"/>
        <v xml:space="preserve"> </v>
      </c>
      <c r="W54" s="185"/>
      <c r="X54" s="178" t="str">
        <f t="shared" si="138"/>
        <v xml:space="preserve"> </v>
      </c>
      <c r="Y54" s="162" t="str">
        <f t="shared" si="139"/>
        <v xml:space="preserve"> </v>
      </c>
      <c r="Z54" s="162" t="str">
        <f t="shared" si="140"/>
        <v xml:space="preserve"> </v>
      </c>
      <c r="AA54" s="162" t="str">
        <f t="shared" si="141"/>
        <v xml:space="preserve"> </v>
      </c>
      <c r="AB54" s="162" t="str">
        <f t="shared" si="142"/>
        <v xml:space="preserve"> </v>
      </c>
      <c r="AC54" s="162" t="e">
        <f t="shared" si="143"/>
        <v>#N/A</v>
      </c>
      <c r="AD54" s="162" t="e">
        <f t="shared" si="144"/>
        <v>#N/A</v>
      </c>
      <c r="AE54" s="162" t="e">
        <f t="shared" si="145"/>
        <v>#N/A</v>
      </c>
      <c r="AF54" s="162" t="e">
        <f t="shared" si="146"/>
        <v>#N/A</v>
      </c>
      <c r="AG54" s="162" t="e">
        <f t="shared" si="147"/>
        <v>#N/A</v>
      </c>
      <c r="AH54" s="162" t="e">
        <f t="shared" si="148"/>
        <v>#N/A</v>
      </c>
      <c r="AI54" s="172" t="str">
        <f t="shared" si="123"/>
        <v xml:space="preserve"> </v>
      </c>
      <c r="AJ54" s="185"/>
      <c r="AK54" s="160">
        <v>133</v>
      </c>
      <c r="AL54" s="195" t="s">
        <v>17</v>
      </c>
      <c r="AM54" s="178" t="str">
        <f t="shared" si="149"/>
        <v xml:space="preserve"> </v>
      </c>
      <c r="AN54" s="162" t="str">
        <f t="shared" si="150"/>
        <v xml:space="preserve"> </v>
      </c>
      <c r="AO54" s="162" t="str">
        <f t="shared" si="151"/>
        <v xml:space="preserve"> </v>
      </c>
      <c r="AP54" s="162" t="str">
        <f t="shared" si="152"/>
        <v xml:space="preserve"> </v>
      </c>
      <c r="AQ54" s="162" t="str">
        <f t="shared" si="153"/>
        <v xml:space="preserve"> </v>
      </c>
      <c r="AR54" s="162" t="e">
        <f t="shared" si="154"/>
        <v>#N/A</v>
      </c>
      <c r="AS54" s="162" t="e">
        <f t="shared" si="155"/>
        <v>#N/A</v>
      </c>
      <c r="AT54" s="162" t="e">
        <f t="shared" si="156"/>
        <v>#N/A</v>
      </c>
      <c r="AU54" s="162" t="e">
        <f t="shared" si="157"/>
        <v>#N/A</v>
      </c>
      <c r="AV54" s="162" t="e">
        <f t="shared" si="158"/>
        <v>#N/A</v>
      </c>
      <c r="AW54" s="162" t="e">
        <f t="shared" si="159"/>
        <v>#N/A</v>
      </c>
      <c r="AX54" s="172" t="str">
        <f t="shared" si="124"/>
        <v xml:space="preserve"> </v>
      </c>
      <c r="AY54" s="185"/>
      <c r="AZ54" s="178" t="str">
        <f t="shared" si="160"/>
        <v xml:space="preserve"> </v>
      </c>
      <c r="BA54" s="162" t="str">
        <f t="shared" si="161"/>
        <v xml:space="preserve"> </v>
      </c>
      <c r="BB54" s="162" t="str">
        <f t="shared" si="162"/>
        <v xml:space="preserve"> </v>
      </c>
      <c r="BC54" s="162" t="str">
        <f t="shared" si="163"/>
        <v xml:space="preserve"> </v>
      </c>
      <c r="BD54" s="162" t="str">
        <f t="shared" si="164"/>
        <v xml:space="preserve"> </v>
      </c>
      <c r="BE54" s="162" t="e">
        <f t="shared" si="165"/>
        <v>#N/A</v>
      </c>
      <c r="BF54" s="162" t="e">
        <f t="shared" si="166"/>
        <v>#N/A</v>
      </c>
      <c r="BG54" s="162" t="e">
        <f t="shared" si="167"/>
        <v>#N/A</v>
      </c>
      <c r="BH54" s="162" t="e">
        <f t="shared" si="168"/>
        <v>#N/A</v>
      </c>
      <c r="BI54" s="162" t="e">
        <f t="shared" si="169"/>
        <v>#N/A</v>
      </c>
      <c r="BJ54" s="162" t="e">
        <f t="shared" si="170"/>
        <v>#N/A</v>
      </c>
      <c r="BK54" s="172" t="str">
        <f t="shared" si="125"/>
        <v xml:space="preserve"> </v>
      </c>
      <c r="BL54" s="185"/>
      <c r="BM54" s="160">
        <v>133</v>
      </c>
      <c r="BN54" s="195" t="s">
        <v>17</v>
      </c>
      <c r="BO54" s="178" t="str">
        <f t="shared" si="171"/>
        <v xml:space="preserve"> </v>
      </c>
      <c r="BP54" s="162" t="str">
        <f t="shared" si="172"/>
        <v xml:space="preserve"> </v>
      </c>
      <c r="BQ54" s="162" t="str">
        <f t="shared" si="173"/>
        <v xml:space="preserve"> </v>
      </c>
      <c r="BR54" s="162" t="str">
        <f t="shared" si="174"/>
        <v xml:space="preserve"> </v>
      </c>
      <c r="BS54" s="162" t="str">
        <f t="shared" si="175"/>
        <v xml:space="preserve"> </v>
      </c>
      <c r="BT54" s="162" t="e">
        <f t="shared" si="176"/>
        <v>#N/A</v>
      </c>
      <c r="BU54" s="162" t="e">
        <f t="shared" si="177"/>
        <v>#N/A</v>
      </c>
      <c r="BV54" s="162" t="e">
        <f t="shared" si="178"/>
        <v>#N/A</v>
      </c>
      <c r="BW54" s="162" t="e">
        <f t="shared" si="179"/>
        <v>#N/A</v>
      </c>
      <c r="BX54" s="162" t="e">
        <f t="shared" si="180"/>
        <v>#N/A</v>
      </c>
      <c r="BY54" s="162" t="e">
        <f t="shared" si="181"/>
        <v>#N/A</v>
      </c>
      <c r="BZ54" s="172" t="str">
        <f t="shared" si="126"/>
        <v xml:space="preserve"> </v>
      </c>
      <c r="CA54" s="189"/>
    </row>
    <row r="55" spans="1:79" ht="15.75" x14ac:dyDescent="0.25">
      <c r="A55" s="199">
        <f t="shared" si="60"/>
        <v>194</v>
      </c>
      <c r="B55" s="199" t="str">
        <f t="shared" si="61"/>
        <v>NGSA</v>
      </c>
      <c r="C55" s="56" t="str">
        <f t="shared" si="62"/>
        <v xml:space="preserve"> </v>
      </c>
      <c r="D55" s="53" t="str">
        <f t="shared" si="63"/>
        <v xml:space="preserve"> </v>
      </c>
      <c r="E55" s="39" t="str">
        <f t="shared" si="64"/>
        <v xml:space="preserve"> </v>
      </c>
      <c r="F55" s="39" t="str">
        <f t="shared" si="65"/>
        <v xml:space="preserve"> </v>
      </c>
      <c r="G55" s="210" t="str">
        <f t="shared" si="66"/>
        <v xml:space="preserve"> </v>
      </c>
      <c r="I55" s="160">
        <v>194</v>
      </c>
      <c r="J55" s="195" t="s">
        <v>17</v>
      </c>
      <c r="K55" s="162" t="str">
        <f t="shared" si="127"/>
        <v xml:space="preserve"> </v>
      </c>
      <c r="L55" s="162" t="str">
        <f t="shared" si="128"/>
        <v xml:space="preserve"> </v>
      </c>
      <c r="M55" s="162" t="str">
        <f t="shared" si="129"/>
        <v xml:space="preserve"> </v>
      </c>
      <c r="N55" s="162" t="str">
        <f t="shared" si="130"/>
        <v xml:space="preserve"> </v>
      </c>
      <c r="O55" s="162" t="str">
        <f t="shared" si="131"/>
        <v xml:space="preserve"> </v>
      </c>
      <c r="P55" s="162" t="e">
        <f t="shared" si="132"/>
        <v>#N/A</v>
      </c>
      <c r="Q55" s="162" t="e">
        <f t="shared" si="133"/>
        <v>#N/A</v>
      </c>
      <c r="R55" s="162" t="e">
        <f t="shared" si="134"/>
        <v>#N/A</v>
      </c>
      <c r="S55" s="162" t="e">
        <f t="shared" si="135"/>
        <v>#N/A</v>
      </c>
      <c r="T55" s="162" t="e">
        <f t="shared" si="136"/>
        <v>#N/A</v>
      </c>
      <c r="U55" s="162" t="e">
        <f t="shared" si="137"/>
        <v>#N/A</v>
      </c>
      <c r="V55" s="172" t="str">
        <f t="shared" si="122"/>
        <v xml:space="preserve"> </v>
      </c>
      <c r="W55" s="185"/>
      <c r="X55" s="178" t="str">
        <f t="shared" si="138"/>
        <v xml:space="preserve"> </v>
      </c>
      <c r="Y55" s="162" t="str">
        <f t="shared" si="139"/>
        <v xml:space="preserve"> </v>
      </c>
      <c r="Z55" s="162" t="str">
        <f t="shared" si="140"/>
        <v xml:space="preserve"> </v>
      </c>
      <c r="AA55" s="162" t="str">
        <f t="shared" si="141"/>
        <v xml:space="preserve"> </v>
      </c>
      <c r="AB55" s="162" t="str">
        <f t="shared" si="142"/>
        <v xml:space="preserve"> </v>
      </c>
      <c r="AC55" s="162" t="e">
        <f t="shared" si="143"/>
        <v>#N/A</v>
      </c>
      <c r="AD55" s="162" t="e">
        <f t="shared" si="144"/>
        <v>#N/A</v>
      </c>
      <c r="AE55" s="162" t="e">
        <f t="shared" si="145"/>
        <v>#N/A</v>
      </c>
      <c r="AF55" s="162" t="e">
        <f t="shared" si="146"/>
        <v>#N/A</v>
      </c>
      <c r="AG55" s="162" t="e">
        <f t="shared" si="147"/>
        <v>#N/A</v>
      </c>
      <c r="AH55" s="162" t="e">
        <f t="shared" si="148"/>
        <v>#N/A</v>
      </c>
      <c r="AI55" s="172" t="str">
        <f t="shared" si="123"/>
        <v xml:space="preserve"> </v>
      </c>
      <c r="AJ55" s="185"/>
      <c r="AK55" s="160">
        <v>194</v>
      </c>
      <c r="AL55" s="195" t="s">
        <v>17</v>
      </c>
      <c r="AM55" s="178" t="str">
        <f t="shared" si="149"/>
        <v xml:space="preserve"> </v>
      </c>
      <c r="AN55" s="162" t="str">
        <f t="shared" si="150"/>
        <v xml:space="preserve"> </v>
      </c>
      <c r="AO55" s="162" t="str">
        <f t="shared" si="151"/>
        <v xml:space="preserve"> </v>
      </c>
      <c r="AP55" s="162" t="str">
        <f t="shared" si="152"/>
        <v xml:space="preserve"> </v>
      </c>
      <c r="AQ55" s="162" t="str">
        <f t="shared" si="153"/>
        <v xml:space="preserve"> </v>
      </c>
      <c r="AR55" s="162" t="e">
        <f t="shared" si="154"/>
        <v>#N/A</v>
      </c>
      <c r="AS55" s="162" t="e">
        <f t="shared" si="155"/>
        <v>#N/A</v>
      </c>
      <c r="AT55" s="162" t="e">
        <f t="shared" si="156"/>
        <v>#N/A</v>
      </c>
      <c r="AU55" s="162" t="e">
        <f t="shared" si="157"/>
        <v>#N/A</v>
      </c>
      <c r="AV55" s="162" t="e">
        <f t="shared" si="158"/>
        <v>#N/A</v>
      </c>
      <c r="AW55" s="162" t="e">
        <f t="shared" si="159"/>
        <v>#N/A</v>
      </c>
      <c r="AX55" s="172" t="str">
        <f t="shared" si="124"/>
        <v xml:space="preserve"> </v>
      </c>
      <c r="AY55" s="185"/>
      <c r="AZ55" s="178" t="str">
        <f t="shared" si="160"/>
        <v xml:space="preserve"> </v>
      </c>
      <c r="BA55" s="162" t="str">
        <f t="shared" si="161"/>
        <v xml:space="preserve"> </v>
      </c>
      <c r="BB55" s="162" t="str">
        <f t="shared" si="162"/>
        <v xml:space="preserve"> </v>
      </c>
      <c r="BC55" s="162" t="str">
        <f t="shared" si="163"/>
        <v xml:space="preserve"> </v>
      </c>
      <c r="BD55" s="162" t="str">
        <f t="shared" si="164"/>
        <v xml:space="preserve"> </v>
      </c>
      <c r="BE55" s="162" t="e">
        <f t="shared" si="165"/>
        <v>#N/A</v>
      </c>
      <c r="BF55" s="162" t="e">
        <f t="shared" si="166"/>
        <v>#N/A</v>
      </c>
      <c r="BG55" s="162" t="e">
        <f t="shared" si="167"/>
        <v>#N/A</v>
      </c>
      <c r="BH55" s="162" t="e">
        <f t="shared" si="168"/>
        <v>#N/A</v>
      </c>
      <c r="BI55" s="162" t="e">
        <f t="shared" si="169"/>
        <v>#N/A</v>
      </c>
      <c r="BJ55" s="162" t="e">
        <f t="shared" si="170"/>
        <v>#N/A</v>
      </c>
      <c r="BK55" s="172" t="str">
        <f t="shared" si="125"/>
        <v xml:space="preserve"> </v>
      </c>
      <c r="BL55" s="185"/>
      <c r="BM55" s="160">
        <v>194</v>
      </c>
      <c r="BN55" s="195" t="s">
        <v>17</v>
      </c>
      <c r="BO55" s="178" t="str">
        <f t="shared" si="171"/>
        <v xml:space="preserve"> </v>
      </c>
      <c r="BP55" s="162" t="str">
        <f t="shared" si="172"/>
        <v xml:space="preserve"> </v>
      </c>
      <c r="BQ55" s="162" t="str">
        <f t="shared" si="173"/>
        <v xml:space="preserve"> </v>
      </c>
      <c r="BR55" s="162" t="str">
        <f t="shared" si="174"/>
        <v xml:space="preserve"> </v>
      </c>
      <c r="BS55" s="162" t="str">
        <f t="shared" si="175"/>
        <v xml:space="preserve"> </v>
      </c>
      <c r="BT55" s="162" t="e">
        <f t="shared" si="176"/>
        <v>#N/A</v>
      </c>
      <c r="BU55" s="162" t="e">
        <f t="shared" si="177"/>
        <v>#N/A</v>
      </c>
      <c r="BV55" s="162" t="e">
        <f t="shared" si="178"/>
        <v>#N/A</v>
      </c>
      <c r="BW55" s="162" t="e">
        <f t="shared" si="179"/>
        <v>#N/A</v>
      </c>
      <c r="BX55" s="162" t="e">
        <f t="shared" si="180"/>
        <v>#N/A</v>
      </c>
      <c r="BY55" s="162" t="e">
        <f t="shared" si="181"/>
        <v>#N/A</v>
      </c>
      <c r="BZ55" s="172" t="str">
        <f t="shared" si="126"/>
        <v xml:space="preserve"> </v>
      </c>
      <c r="CA55" s="189"/>
    </row>
    <row r="56" spans="1:79" ht="15.75" x14ac:dyDescent="0.25">
      <c r="A56" s="199">
        <f t="shared" si="60"/>
        <v>195</v>
      </c>
      <c r="B56" s="199" t="str">
        <f t="shared" si="61"/>
        <v>NGSA</v>
      </c>
      <c r="C56" s="56" t="str">
        <f t="shared" si="62"/>
        <v xml:space="preserve"> </v>
      </c>
      <c r="D56" s="53" t="str">
        <f t="shared" si="63"/>
        <v xml:space="preserve"> </v>
      </c>
      <c r="E56" s="39" t="str">
        <f t="shared" si="64"/>
        <v xml:space="preserve"> </v>
      </c>
      <c r="F56" s="39" t="str">
        <f t="shared" si="65"/>
        <v xml:space="preserve"> </v>
      </c>
      <c r="G56" s="210" t="str">
        <f t="shared" si="66"/>
        <v xml:space="preserve"> </v>
      </c>
      <c r="I56" s="160">
        <v>195</v>
      </c>
      <c r="J56" s="195" t="s">
        <v>17</v>
      </c>
      <c r="K56" s="162" t="str">
        <f t="shared" si="127"/>
        <v xml:space="preserve"> </v>
      </c>
      <c r="L56" s="162" t="str">
        <f t="shared" si="128"/>
        <v xml:space="preserve"> </v>
      </c>
      <c r="M56" s="162" t="str">
        <f t="shared" si="129"/>
        <v xml:space="preserve"> </v>
      </c>
      <c r="N56" s="162" t="str">
        <f t="shared" si="130"/>
        <v xml:space="preserve"> </v>
      </c>
      <c r="O56" s="162" t="str">
        <f t="shared" si="131"/>
        <v xml:space="preserve"> </v>
      </c>
      <c r="P56" s="162" t="e">
        <f t="shared" si="132"/>
        <v>#N/A</v>
      </c>
      <c r="Q56" s="162" t="e">
        <f t="shared" si="133"/>
        <v>#N/A</v>
      </c>
      <c r="R56" s="162" t="e">
        <f t="shared" si="134"/>
        <v>#N/A</v>
      </c>
      <c r="S56" s="162" t="e">
        <f t="shared" si="135"/>
        <v>#N/A</v>
      </c>
      <c r="T56" s="162" t="e">
        <f t="shared" si="136"/>
        <v>#N/A</v>
      </c>
      <c r="U56" s="162" t="e">
        <f t="shared" si="137"/>
        <v>#N/A</v>
      </c>
      <c r="V56" s="172" t="str">
        <f t="shared" si="122"/>
        <v xml:space="preserve"> </v>
      </c>
      <c r="W56" s="185"/>
      <c r="X56" s="178" t="str">
        <f t="shared" si="138"/>
        <v xml:space="preserve"> </v>
      </c>
      <c r="Y56" s="162" t="str">
        <f t="shared" si="139"/>
        <v xml:space="preserve"> </v>
      </c>
      <c r="Z56" s="162" t="str">
        <f t="shared" si="140"/>
        <v xml:space="preserve"> </v>
      </c>
      <c r="AA56" s="162" t="str">
        <f t="shared" si="141"/>
        <v xml:space="preserve"> </v>
      </c>
      <c r="AB56" s="162" t="str">
        <f t="shared" si="142"/>
        <v xml:space="preserve"> </v>
      </c>
      <c r="AC56" s="162" t="e">
        <f t="shared" si="143"/>
        <v>#N/A</v>
      </c>
      <c r="AD56" s="162" t="e">
        <f t="shared" si="144"/>
        <v>#N/A</v>
      </c>
      <c r="AE56" s="162" t="e">
        <f t="shared" si="145"/>
        <v>#N/A</v>
      </c>
      <c r="AF56" s="162" t="e">
        <f t="shared" si="146"/>
        <v>#N/A</v>
      </c>
      <c r="AG56" s="162" t="e">
        <f t="shared" si="147"/>
        <v>#N/A</v>
      </c>
      <c r="AH56" s="162" t="e">
        <f t="shared" si="148"/>
        <v>#N/A</v>
      </c>
      <c r="AI56" s="172" t="str">
        <f t="shared" si="123"/>
        <v xml:space="preserve"> </v>
      </c>
      <c r="AJ56" s="185"/>
      <c r="AK56" s="160">
        <v>195</v>
      </c>
      <c r="AL56" s="195" t="s">
        <v>17</v>
      </c>
      <c r="AM56" s="178" t="str">
        <f t="shared" si="149"/>
        <v xml:space="preserve"> </v>
      </c>
      <c r="AN56" s="162" t="str">
        <f t="shared" si="150"/>
        <v xml:space="preserve"> </v>
      </c>
      <c r="AO56" s="162" t="str">
        <f t="shared" si="151"/>
        <v xml:space="preserve"> </v>
      </c>
      <c r="AP56" s="162" t="str">
        <f t="shared" si="152"/>
        <v xml:space="preserve"> </v>
      </c>
      <c r="AQ56" s="162" t="str">
        <f t="shared" si="153"/>
        <v xml:space="preserve"> </v>
      </c>
      <c r="AR56" s="162" t="e">
        <f t="shared" si="154"/>
        <v>#N/A</v>
      </c>
      <c r="AS56" s="162" t="e">
        <f t="shared" si="155"/>
        <v>#N/A</v>
      </c>
      <c r="AT56" s="162" t="e">
        <f t="shared" si="156"/>
        <v>#N/A</v>
      </c>
      <c r="AU56" s="162" t="e">
        <f t="shared" si="157"/>
        <v>#N/A</v>
      </c>
      <c r="AV56" s="162" t="e">
        <f t="shared" si="158"/>
        <v>#N/A</v>
      </c>
      <c r="AW56" s="162" t="e">
        <f t="shared" si="159"/>
        <v>#N/A</v>
      </c>
      <c r="AX56" s="172" t="str">
        <f t="shared" si="124"/>
        <v xml:space="preserve"> </v>
      </c>
      <c r="AY56" s="185"/>
      <c r="AZ56" s="178" t="str">
        <f t="shared" si="160"/>
        <v xml:space="preserve"> </v>
      </c>
      <c r="BA56" s="162" t="str">
        <f t="shared" si="161"/>
        <v xml:space="preserve"> </v>
      </c>
      <c r="BB56" s="162" t="str">
        <f t="shared" si="162"/>
        <v xml:space="preserve"> </v>
      </c>
      <c r="BC56" s="162" t="str">
        <f t="shared" si="163"/>
        <v xml:space="preserve"> </v>
      </c>
      <c r="BD56" s="162" t="str">
        <f t="shared" si="164"/>
        <v xml:space="preserve"> </v>
      </c>
      <c r="BE56" s="162" t="e">
        <f t="shared" si="165"/>
        <v>#N/A</v>
      </c>
      <c r="BF56" s="162" t="e">
        <f t="shared" si="166"/>
        <v>#N/A</v>
      </c>
      <c r="BG56" s="162" t="e">
        <f t="shared" si="167"/>
        <v>#N/A</v>
      </c>
      <c r="BH56" s="162" t="e">
        <f t="shared" si="168"/>
        <v>#N/A</v>
      </c>
      <c r="BI56" s="162" t="e">
        <f t="shared" si="169"/>
        <v>#N/A</v>
      </c>
      <c r="BJ56" s="162" t="e">
        <f t="shared" si="170"/>
        <v>#N/A</v>
      </c>
      <c r="BK56" s="172" t="str">
        <f t="shared" si="125"/>
        <v xml:space="preserve"> </v>
      </c>
      <c r="BL56" s="185"/>
      <c r="BM56" s="160">
        <v>195</v>
      </c>
      <c r="BN56" s="195" t="s">
        <v>17</v>
      </c>
      <c r="BO56" s="178" t="str">
        <f t="shared" si="171"/>
        <v xml:space="preserve"> </v>
      </c>
      <c r="BP56" s="162" t="str">
        <f t="shared" si="172"/>
        <v xml:space="preserve"> </v>
      </c>
      <c r="BQ56" s="162" t="str">
        <f t="shared" si="173"/>
        <v xml:space="preserve"> </v>
      </c>
      <c r="BR56" s="162" t="str">
        <f t="shared" si="174"/>
        <v xml:space="preserve"> </v>
      </c>
      <c r="BS56" s="162" t="str">
        <f t="shared" si="175"/>
        <v xml:space="preserve"> </v>
      </c>
      <c r="BT56" s="162" t="e">
        <f t="shared" si="176"/>
        <v>#N/A</v>
      </c>
      <c r="BU56" s="162" t="e">
        <f t="shared" si="177"/>
        <v>#N/A</v>
      </c>
      <c r="BV56" s="162" t="e">
        <f t="shared" si="178"/>
        <v>#N/A</v>
      </c>
      <c r="BW56" s="162" t="e">
        <f t="shared" si="179"/>
        <v>#N/A</v>
      </c>
      <c r="BX56" s="162" t="e">
        <f t="shared" si="180"/>
        <v>#N/A</v>
      </c>
      <c r="BY56" s="162" t="e">
        <f t="shared" si="181"/>
        <v>#N/A</v>
      </c>
      <c r="BZ56" s="172" t="str">
        <f t="shared" si="126"/>
        <v xml:space="preserve"> </v>
      </c>
      <c r="CA56" s="189"/>
    </row>
    <row r="57" spans="1:79" ht="15.75" x14ac:dyDescent="0.25">
      <c r="A57" s="199">
        <f t="shared" si="60"/>
        <v>196</v>
      </c>
      <c r="B57" s="199" t="str">
        <f t="shared" si="61"/>
        <v>NGSA</v>
      </c>
      <c r="C57" s="56" t="str">
        <f t="shared" si="62"/>
        <v xml:space="preserve"> </v>
      </c>
      <c r="D57" s="53" t="str">
        <f t="shared" si="63"/>
        <v xml:space="preserve"> </v>
      </c>
      <c r="E57" s="39" t="str">
        <f t="shared" si="64"/>
        <v xml:space="preserve"> </v>
      </c>
      <c r="F57" s="39" t="str">
        <f t="shared" si="65"/>
        <v xml:space="preserve"> </v>
      </c>
      <c r="G57" s="210" t="str">
        <f t="shared" si="66"/>
        <v xml:space="preserve"> </v>
      </c>
      <c r="I57" s="160">
        <v>196</v>
      </c>
      <c r="J57" s="195" t="s">
        <v>17</v>
      </c>
      <c r="K57" s="162" t="str">
        <f t="shared" si="127"/>
        <v xml:space="preserve"> </v>
      </c>
      <c r="L57" s="162" t="str">
        <f t="shared" si="128"/>
        <v xml:space="preserve"> </v>
      </c>
      <c r="M57" s="162" t="str">
        <f t="shared" si="129"/>
        <v xml:space="preserve"> </v>
      </c>
      <c r="N57" s="162" t="str">
        <f t="shared" si="130"/>
        <v xml:space="preserve"> </v>
      </c>
      <c r="O57" s="162" t="str">
        <f t="shared" si="131"/>
        <v xml:space="preserve"> </v>
      </c>
      <c r="P57" s="162" t="e">
        <f t="shared" si="132"/>
        <v>#N/A</v>
      </c>
      <c r="Q57" s="162" t="e">
        <f t="shared" si="133"/>
        <v>#N/A</v>
      </c>
      <c r="R57" s="162" t="e">
        <f t="shared" si="134"/>
        <v>#N/A</v>
      </c>
      <c r="S57" s="162" t="e">
        <f t="shared" si="135"/>
        <v>#N/A</v>
      </c>
      <c r="T57" s="162" t="e">
        <f t="shared" si="136"/>
        <v>#N/A</v>
      </c>
      <c r="U57" s="162" t="e">
        <f t="shared" si="137"/>
        <v>#N/A</v>
      </c>
      <c r="V57" s="172" t="str">
        <f t="shared" si="122"/>
        <v xml:space="preserve"> </v>
      </c>
      <c r="W57" s="185"/>
      <c r="X57" s="178" t="str">
        <f t="shared" si="138"/>
        <v xml:space="preserve"> </v>
      </c>
      <c r="Y57" s="162" t="str">
        <f t="shared" si="139"/>
        <v xml:space="preserve"> </v>
      </c>
      <c r="Z57" s="162" t="str">
        <f t="shared" si="140"/>
        <v xml:space="preserve"> </v>
      </c>
      <c r="AA57" s="162" t="str">
        <f t="shared" si="141"/>
        <v xml:space="preserve"> </v>
      </c>
      <c r="AB57" s="162" t="str">
        <f t="shared" si="142"/>
        <v xml:space="preserve"> </v>
      </c>
      <c r="AC57" s="162" t="e">
        <f t="shared" si="143"/>
        <v>#N/A</v>
      </c>
      <c r="AD57" s="162" t="e">
        <f t="shared" si="144"/>
        <v>#N/A</v>
      </c>
      <c r="AE57" s="162" t="e">
        <f t="shared" si="145"/>
        <v>#N/A</v>
      </c>
      <c r="AF57" s="162" t="e">
        <f t="shared" si="146"/>
        <v>#N/A</v>
      </c>
      <c r="AG57" s="162" t="e">
        <f t="shared" si="147"/>
        <v>#N/A</v>
      </c>
      <c r="AH57" s="162" t="e">
        <f t="shared" si="148"/>
        <v>#N/A</v>
      </c>
      <c r="AI57" s="172" t="str">
        <f t="shared" si="123"/>
        <v xml:space="preserve"> </v>
      </c>
      <c r="AJ57" s="185"/>
      <c r="AK57" s="160">
        <v>196</v>
      </c>
      <c r="AL57" s="195" t="s">
        <v>17</v>
      </c>
      <c r="AM57" s="178" t="str">
        <f t="shared" si="149"/>
        <v xml:space="preserve"> </v>
      </c>
      <c r="AN57" s="162" t="str">
        <f t="shared" si="150"/>
        <v xml:space="preserve"> </v>
      </c>
      <c r="AO57" s="162" t="str">
        <f t="shared" si="151"/>
        <v xml:space="preserve"> </v>
      </c>
      <c r="AP57" s="162" t="str">
        <f t="shared" si="152"/>
        <v xml:space="preserve"> </v>
      </c>
      <c r="AQ57" s="162" t="str">
        <f t="shared" si="153"/>
        <v xml:space="preserve"> </v>
      </c>
      <c r="AR57" s="162" t="e">
        <f t="shared" si="154"/>
        <v>#N/A</v>
      </c>
      <c r="AS57" s="162" t="e">
        <f t="shared" si="155"/>
        <v>#N/A</v>
      </c>
      <c r="AT57" s="162" t="e">
        <f t="shared" si="156"/>
        <v>#N/A</v>
      </c>
      <c r="AU57" s="162" t="e">
        <f t="shared" si="157"/>
        <v>#N/A</v>
      </c>
      <c r="AV57" s="162" t="e">
        <f t="shared" si="158"/>
        <v>#N/A</v>
      </c>
      <c r="AW57" s="162" t="e">
        <f t="shared" si="159"/>
        <v>#N/A</v>
      </c>
      <c r="AX57" s="172" t="str">
        <f t="shared" si="124"/>
        <v xml:space="preserve"> </v>
      </c>
      <c r="AY57" s="185"/>
      <c r="AZ57" s="178" t="str">
        <f t="shared" si="160"/>
        <v xml:space="preserve"> </v>
      </c>
      <c r="BA57" s="162" t="str">
        <f t="shared" si="161"/>
        <v xml:space="preserve"> </v>
      </c>
      <c r="BB57" s="162" t="str">
        <f t="shared" si="162"/>
        <v xml:space="preserve"> </v>
      </c>
      <c r="BC57" s="162" t="str">
        <f t="shared" si="163"/>
        <v xml:space="preserve"> </v>
      </c>
      <c r="BD57" s="162" t="str">
        <f t="shared" si="164"/>
        <v xml:space="preserve"> </v>
      </c>
      <c r="BE57" s="162" t="e">
        <f t="shared" si="165"/>
        <v>#N/A</v>
      </c>
      <c r="BF57" s="162" t="e">
        <f t="shared" si="166"/>
        <v>#N/A</v>
      </c>
      <c r="BG57" s="162" t="e">
        <f t="shared" si="167"/>
        <v>#N/A</v>
      </c>
      <c r="BH57" s="162" t="e">
        <f t="shared" si="168"/>
        <v>#N/A</v>
      </c>
      <c r="BI57" s="162" t="e">
        <f t="shared" si="169"/>
        <v>#N/A</v>
      </c>
      <c r="BJ57" s="162" t="e">
        <f t="shared" si="170"/>
        <v>#N/A</v>
      </c>
      <c r="BK57" s="172" t="str">
        <f t="shared" si="125"/>
        <v xml:space="preserve"> </v>
      </c>
      <c r="BL57" s="185"/>
      <c r="BM57" s="160">
        <v>196</v>
      </c>
      <c r="BN57" s="195" t="s">
        <v>17</v>
      </c>
      <c r="BO57" s="178" t="str">
        <f t="shared" si="171"/>
        <v xml:space="preserve"> </v>
      </c>
      <c r="BP57" s="162" t="str">
        <f t="shared" si="172"/>
        <v xml:space="preserve"> </v>
      </c>
      <c r="BQ57" s="162" t="str">
        <f t="shared" si="173"/>
        <v xml:space="preserve"> </v>
      </c>
      <c r="BR57" s="162" t="str">
        <f t="shared" si="174"/>
        <v xml:space="preserve"> </v>
      </c>
      <c r="BS57" s="162" t="str">
        <f t="shared" si="175"/>
        <v xml:space="preserve"> </v>
      </c>
      <c r="BT57" s="162" t="e">
        <f t="shared" si="176"/>
        <v>#N/A</v>
      </c>
      <c r="BU57" s="162" t="e">
        <f t="shared" si="177"/>
        <v>#N/A</v>
      </c>
      <c r="BV57" s="162" t="e">
        <f t="shared" si="178"/>
        <v>#N/A</v>
      </c>
      <c r="BW57" s="162" t="e">
        <f t="shared" si="179"/>
        <v>#N/A</v>
      </c>
      <c r="BX57" s="162" t="e">
        <f t="shared" si="180"/>
        <v>#N/A</v>
      </c>
      <c r="BY57" s="162" t="e">
        <f t="shared" si="181"/>
        <v>#N/A</v>
      </c>
      <c r="BZ57" s="172" t="str">
        <f t="shared" si="126"/>
        <v xml:space="preserve"> </v>
      </c>
      <c r="CA57" s="189"/>
    </row>
    <row r="58" spans="1:79" ht="15.75" x14ac:dyDescent="0.25">
      <c r="A58" s="199">
        <f t="shared" si="60"/>
        <v>197</v>
      </c>
      <c r="B58" s="199" t="str">
        <f t="shared" si="61"/>
        <v>NGSA</v>
      </c>
      <c r="C58" s="56" t="str">
        <f t="shared" si="62"/>
        <v xml:space="preserve"> </v>
      </c>
      <c r="D58" s="53" t="str">
        <f t="shared" si="63"/>
        <v xml:space="preserve"> </v>
      </c>
      <c r="E58" s="39" t="str">
        <f t="shared" si="64"/>
        <v xml:space="preserve"> </v>
      </c>
      <c r="F58" s="39" t="str">
        <f t="shared" si="65"/>
        <v xml:space="preserve"> </v>
      </c>
      <c r="G58" s="210" t="str">
        <f t="shared" si="66"/>
        <v xml:space="preserve"> </v>
      </c>
      <c r="I58" s="160">
        <v>197</v>
      </c>
      <c r="J58" s="195" t="s">
        <v>17</v>
      </c>
      <c r="K58" s="162" t="str">
        <f t="shared" si="127"/>
        <v xml:space="preserve"> </v>
      </c>
      <c r="L58" s="162" t="str">
        <f t="shared" si="128"/>
        <v xml:space="preserve"> </v>
      </c>
      <c r="M58" s="162" t="str">
        <f t="shared" si="129"/>
        <v xml:space="preserve"> </v>
      </c>
      <c r="N58" s="162" t="str">
        <f t="shared" si="130"/>
        <v xml:space="preserve"> </v>
      </c>
      <c r="O58" s="162" t="str">
        <f t="shared" si="131"/>
        <v xml:space="preserve"> </v>
      </c>
      <c r="P58" s="162" t="e">
        <f t="shared" si="132"/>
        <v>#N/A</v>
      </c>
      <c r="Q58" s="162" t="e">
        <f t="shared" si="133"/>
        <v>#N/A</v>
      </c>
      <c r="R58" s="162" t="e">
        <f t="shared" si="134"/>
        <v>#N/A</v>
      </c>
      <c r="S58" s="162" t="e">
        <f t="shared" si="135"/>
        <v>#N/A</v>
      </c>
      <c r="T58" s="162" t="e">
        <f t="shared" si="136"/>
        <v>#N/A</v>
      </c>
      <c r="U58" s="162" t="e">
        <f t="shared" si="137"/>
        <v>#N/A</v>
      </c>
      <c r="V58" s="172" t="str">
        <f t="shared" si="122"/>
        <v xml:space="preserve"> </v>
      </c>
      <c r="W58" s="185"/>
      <c r="X58" s="178" t="str">
        <f t="shared" si="138"/>
        <v xml:space="preserve"> </v>
      </c>
      <c r="Y58" s="162" t="str">
        <f t="shared" si="139"/>
        <v xml:space="preserve"> </v>
      </c>
      <c r="Z58" s="162" t="str">
        <f t="shared" si="140"/>
        <v xml:space="preserve"> </v>
      </c>
      <c r="AA58" s="162" t="str">
        <f t="shared" si="141"/>
        <v xml:space="preserve"> </v>
      </c>
      <c r="AB58" s="162" t="str">
        <f t="shared" si="142"/>
        <v xml:space="preserve"> </v>
      </c>
      <c r="AC58" s="162" t="e">
        <f t="shared" si="143"/>
        <v>#N/A</v>
      </c>
      <c r="AD58" s="162" t="e">
        <f t="shared" si="144"/>
        <v>#N/A</v>
      </c>
      <c r="AE58" s="162" t="e">
        <f t="shared" si="145"/>
        <v>#N/A</v>
      </c>
      <c r="AF58" s="162" t="e">
        <f t="shared" si="146"/>
        <v>#N/A</v>
      </c>
      <c r="AG58" s="162" t="e">
        <f t="shared" si="147"/>
        <v>#N/A</v>
      </c>
      <c r="AH58" s="162" t="e">
        <f t="shared" si="148"/>
        <v>#N/A</v>
      </c>
      <c r="AI58" s="172" t="str">
        <f t="shared" si="123"/>
        <v xml:space="preserve"> </v>
      </c>
      <c r="AJ58" s="185"/>
      <c r="AK58" s="160">
        <v>197</v>
      </c>
      <c r="AL58" s="195" t="s">
        <v>17</v>
      </c>
      <c r="AM58" s="178" t="str">
        <f t="shared" si="149"/>
        <v xml:space="preserve"> </v>
      </c>
      <c r="AN58" s="162" t="str">
        <f t="shared" si="150"/>
        <v xml:space="preserve"> </v>
      </c>
      <c r="AO58" s="162" t="str">
        <f t="shared" si="151"/>
        <v xml:space="preserve"> </v>
      </c>
      <c r="AP58" s="162" t="str">
        <f t="shared" si="152"/>
        <v xml:space="preserve"> </v>
      </c>
      <c r="AQ58" s="162" t="str">
        <f t="shared" si="153"/>
        <v xml:space="preserve"> </v>
      </c>
      <c r="AR58" s="162" t="e">
        <f t="shared" si="154"/>
        <v>#N/A</v>
      </c>
      <c r="AS58" s="162" t="e">
        <f t="shared" si="155"/>
        <v>#N/A</v>
      </c>
      <c r="AT58" s="162" t="e">
        <f t="shared" si="156"/>
        <v>#N/A</v>
      </c>
      <c r="AU58" s="162" t="e">
        <f t="shared" si="157"/>
        <v>#N/A</v>
      </c>
      <c r="AV58" s="162" t="e">
        <f t="shared" si="158"/>
        <v>#N/A</v>
      </c>
      <c r="AW58" s="162" t="e">
        <f t="shared" si="159"/>
        <v>#N/A</v>
      </c>
      <c r="AX58" s="172" t="str">
        <f t="shared" si="124"/>
        <v xml:space="preserve"> </v>
      </c>
      <c r="AY58" s="185"/>
      <c r="AZ58" s="178" t="str">
        <f t="shared" si="160"/>
        <v xml:space="preserve"> </v>
      </c>
      <c r="BA58" s="162" t="str">
        <f t="shared" si="161"/>
        <v xml:space="preserve"> </v>
      </c>
      <c r="BB58" s="162" t="str">
        <f t="shared" si="162"/>
        <v xml:space="preserve"> </v>
      </c>
      <c r="BC58" s="162" t="str">
        <f t="shared" si="163"/>
        <v xml:space="preserve"> </v>
      </c>
      <c r="BD58" s="162" t="str">
        <f t="shared" si="164"/>
        <v xml:space="preserve"> </v>
      </c>
      <c r="BE58" s="162" t="e">
        <f t="shared" si="165"/>
        <v>#N/A</v>
      </c>
      <c r="BF58" s="162" t="e">
        <f t="shared" si="166"/>
        <v>#N/A</v>
      </c>
      <c r="BG58" s="162" t="e">
        <f t="shared" si="167"/>
        <v>#N/A</v>
      </c>
      <c r="BH58" s="162" t="e">
        <f t="shared" si="168"/>
        <v>#N/A</v>
      </c>
      <c r="BI58" s="162" t="e">
        <f t="shared" si="169"/>
        <v>#N/A</v>
      </c>
      <c r="BJ58" s="162" t="e">
        <f t="shared" si="170"/>
        <v>#N/A</v>
      </c>
      <c r="BK58" s="172" t="str">
        <f t="shared" si="125"/>
        <v xml:space="preserve"> </v>
      </c>
      <c r="BL58" s="185"/>
      <c r="BM58" s="160">
        <v>197</v>
      </c>
      <c r="BN58" s="195" t="s">
        <v>17</v>
      </c>
      <c r="BO58" s="178" t="str">
        <f t="shared" si="171"/>
        <v xml:space="preserve"> </v>
      </c>
      <c r="BP58" s="162" t="str">
        <f t="shared" si="172"/>
        <v xml:space="preserve"> </v>
      </c>
      <c r="BQ58" s="162" t="str">
        <f t="shared" si="173"/>
        <v xml:space="preserve"> </v>
      </c>
      <c r="BR58" s="162" t="str">
        <f t="shared" si="174"/>
        <v xml:space="preserve"> </v>
      </c>
      <c r="BS58" s="162" t="str">
        <f t="shared" si="175"/>
        <v xml:space="preserve"> </v>
      </c>
      <c r="BT58" s="162" t="e">
        <f t="shared" si="176"/>
        <v>#N/A</v>
      </c>
      <c r="BU58" s="162" t="e">
        <f t="shared" si="177"/>
        <v>#N/A</v>
      </c>
      <c r="BV58" s="162" t="e">
        <f t="shared" si="178"/>
        <v>#N/A</v>
      </c>
      <c r="BW58" s="162" t="e">
        <f t="shared" si="179"/>
        <v>#N/A</v>
      </c>
      <c r="BX58" s="162" t="e">
        <f t="shared" si="180"/>
        <v>#N/A</v>
      </c>
      <c r="BY58" s="162" t="e">
        <f t="shared" si="181"/>
        <v>#N/A</v>
      </c>
      <c r="BZ58" s="172" t="str">
        <f t="shared" si="126"/>
        <v xml:space="preserve"> </v>
      </c>
      <c r="CA58" s="189"/>
    </row>
    <row r="59" spans="1:79" ht="15.75" x14ac:dyDescent="0.25">
      <c r="A59" s="199">
        <f t="shared" si="60"/>
        <v>201</v>
      </c>
      <c r="B59" s="199" t="str">
        <f t="shared" si="61"/>
        <v>NGSA</v>
      </c>
      <c r="C59" s="56" t="str">
        <f t="shared" si="62"/>
        <v xml:space="preserve"> </v>
      </c>
      <c r="D59" s="53" t="str">
        <f t="shared" si="63"/>
        <v xml:space="preserve"> </v>
      </c>
      <c r="E59" s="39" t="str">
        <f t="shared" si="64"/>
        <v xml:space="preserve"> </v>
      </c>
      <c r="F59" s="39" t="str">
        <f t="shared" si="65"/>
        <v xml:space="preserve"> </v>
      </c>
      <c r="G59" s="210" t="str">
        <f t="shared" si="66"/>
        <v xml:space="preserve"> </v>
      </c>
      <c r="I59" s="160">
        <v>201</v>
      </c>
      <c r="J59" s="195" t="s">
        <v>17</v>
      </c>
      <c r="K59" s="162" t="e">
        <f t="shared" si="127"/>
        <v>#N/A</v>
      </c>
      <c r="L59" s="162" t="e">
        <f t="shared" si="128"/>
        <v>#N/A</v>
      </c>
      <c r="M59" s="162" t="e">
        <f t="shared" si="129"/>
        <v>#N/A</v>
      </c>
      <c r="N59" s="162" t="e">
        <f t="shared" si="130"/>
        <v>#N/A</v>
      </c>
      <c r="O59" s="162" t="e">
        <f t="shared" si="131"/>
        <v>#N/A</v>
      </c>
      <c r="P59" s="162" t="e">
        <f t="shared" si="132"/>
        <v>#N/A</v>
      </c>
      <c r="Q59" s="162" t="e">
        <f t="shared" si="133"/>
        <v>#N/A</v>
      </c>
      <c r="R59" s="162" t="e">
        <f t="shared" si="134"/>
        <v>#N/A</v>
      </c>
      <c r="S59" s="162" t="str">
        <f t="shared" si="135"/>
        <v xml:space="preserve"> </v>
      </c>
      <c r="T59" s="162" t="str">
        <f t="shared" si="136"/>
        <v xml:space="preserve"> </v>
      </c>
      <c r="U59" s="162" t="str">
        <f t="shared" si="137"/>
        <v xml:space="preserve"> </v>
      </c>
      <c r="V59" s="172" t="str">
        <f t="shared" si="122"/>
        <v xml:space="preserve"> </v>
      </c>
      <c r="W59" s="185"/>
      <c r="X59" s="178" t="e">
        <f t="shared" si="138"/>
        <v>#N/A</v>
      </c>
      <c r="Y59" s="162" t="e">
        <f t="shared" si="139"/>
        <v>#N/A</v>
      </c>
      <c r="Z59" s="162" t="e">
        <f t="shared" si="140"/>
        <v>#N/A</v>
      </c>
      <c r="AA59" s="162" t="e">
        <f t="shared" si="141"/>
        <v>#N/A</v>
      </c>
      <c r="AB59" s="162" t="e">
        <f t="shared" si="142"/>
        <v>#N/A</v>
      </c>
      <c r="AC59" s="162" t="e">
        <f t="shared" si="143"/>
        <v>#N/A</v>
      </c>
      <c r="AD59" s="162" t="e">
        <f t="shared" si="144"/>
        <v>#N/A</v>
      </c>
      <c r="AE59" s="162" t="e">
        <f t="shared" si="145"/>
        <v>#N/A</v>
      </c>
      <c r="AF59" s="162" t="str">
        <f t="shared" si="146"/>
        <v xml:space="preserve"> </v>
      </c>
      <c r="AG59" s="162" t="str">
        <f t="shared" si="147"/>
        <v xml:space="preserve"> </v>
      </c>
      <c r="AH59" s="162" t="str">
        <f t="shared" si="148"/>
        <v xml:space="preserve"> </v>
      </c>
      <c r="AI59" s="172" t="str">
        <f t="shared" si="123"/>
        <v xml:space="preserve"> </v>
      </c>
      <c r="AJ59" s="185"/>
      <c r="AK59" s="160">
        <v>201</v>
      </c>
      <c r="AL59" s="195" t="s">
        <v>17</v>
      </c>
      <c r="AM59" s="178" t="e">
        <f t="shared" si="149"/>
        <v>#N/A</v>
      </c>
      <c r="AN59" s="162" t="e">
        <f t="shared" si="150"/>
        <v>#N/A</v>
      </c>
      <c r="AO59" s="162" t="e">
        <f t="shared" si="151"/>
        <v>#N/A</v>
      </c>
      <c r="AP59" s="162" t="e">
        <f t="shared" si="152"/>
        <v>#N/A</v>
      </c>
      <c r="AQ59" s="162" t="e">
        <f t="shared" si="153"/>
        <v>#N/A</v>
      </c>
      <c r="AR59" s="162" t="e">
        <f t="shared" si="154"/>
        <v>#N/A</v>
      </c>
      <c r="AS59" s="162" t="e">
        <f t="shared" si="155"/>
        <v>#N/A</v>
      </c>
      <c r="AT59" s="162" t="e">
        <f t="shared" si="156"/>
        <v>#N/A</v>
      </c>
      <c r="AU59" s="162" t="str">
        <f t="shared" si="157"/>
        <v xml:space="preserve"> </v>
      </c>
      <c r="AV59" s="162" t="str">
        <f t="shared" si="158"/>
        <v xml:space="preserve"> </v>
      </c>
      <c r="AW59" s="162" t="str">
        <f t="shared" si="159"/>
        <v xml:space="preserve"> </v>
      </c>
      <c r="AX59" s="172" t="str">
        <f t="shared" si="124"/>
        <v xml:space="preserve"> </v>
      </c>
      <c r="AY59" s="185"/>
      <c r="AZ59" s="178" t="e">
        <f t="shared" si="160"/>
        <v>#N/A</v>
      </c>
      <c r="BA59" s="162" t="e">
        <f t="shared" si="161"/>
        <v>#N/A</v>
      </c>
      <c r="BB59" s="162" t="e">
        <f t="shared" si="162"/>
        <v>#N/A</v>
      </c>
      <c r="BC59" s="162" t="e">
        <f t="shared" si="163"/>
        <v>#N/A</v>
      </c>
      <c r="BD59" s="162" t="e">
        <f t="shared" si="164"/>
        <v>#N/A</v>
      </c>
      <c r="BE59" s="162" t="e">
        <f t="shared" si="165"/>
        <v>#N/A</v>
      </c>
      <c r="BF59" s="162" t="e">
        <f t="shared" si="166"/>
        <v>#N/A</v>
      </c>
      <c r="BG59" s="162" t="e">
        <f t="shared" si="167"/>
        <v>#N/A</v>
      </c>
      <c r="BH59" s="162" t="str">
        <f t="shared" si="168"/>
        <v xml:space="preserve"> </v>
      </c>
      <c r="BI59" s="162" t="str">
        <f t="shared" si="169"/>
        <v xml:space="preserve"> </v>
      </c>
      <c r="BJ59" s="162" t="str">
        <f t="shared" si="170"/>
        <v xml:space="preserve"> </v>
      </c>
      <c r="BK59" s="172" t="str">
        <f t="shared" si="125"/>
        <v xml:space="preserve"> </v>
      </c>
      <c r="BL59" s="185"/>
      <c r="BM59" s="160">
        <v>201</v>
      </c>
      <c r="BN59" s="195" t="s">
        <v>17</v>
      </c>
      <c r="BO59" s="178" t="e">
        <f t="shared" si="171"/>
        <v>#N/A</v>
      </c>
      <c r="BP59" s="162" t="e">
        <f t="shared" si="172"/>
        <v>#N/A</v>
      </c>
      <c r="BQ59" s="162" t="e">
        <f t="shared" si="173"/>
        <v>#N/A</v>
      </c>
      <c r="BR59" s="162" t="e">
        <f t="shared" si="174"/>
        <v>#N/A</v>
      </c>
      <c r="BS59" s="162" t="e">
        <f t="shared" si="175"/>
        <v>#N/A</v>
      </c>
      <c r="BT59" s="162" t="e">
        <f t="shared" si="176"/>
        <v>#N/A</v>
      </c>
      <c r="BU59" s="162" t="e">
        <f t="shared" si="177"/>
        <v>#N/A</v>
      </c>
      <c r="BV59" s="162" t="e">
        <f t="shared" si="178"/>
        <v>#N/A</v>
      </c>
      <c r="BW59" s="162" t="str">
        <f t="shared" si="179"/>
        <v xml:space="preserve"> </v>
      </c>
      <c r="BX59" s="162" t="str">
        <f t="shared" si="180"/>
        <v xml:space="preserve"> </v>
      </c>
      <c r="BY59" s="162" t="str">
        <f t="shared" si="181"/>
        <v xml:space="preserve"> </v>
      </c>
      <c r="BZ59" s="172" t="str">
        <f t="shared" si="126"/>
        <v xml:space="preserve"> </v>
      </c>
      <c r="CA59" s="189"/>
    </row>
    <row r="60" spans="1:79" ht="15.75" x14ac:dyDescent="0.25">
      <c r="A60" s="199">
        <f t="shared" si="60"/>
        <v>282</v>
      </c>
      <c r="B60" s="199" t="str">
        <f t="shared" si="61"/>
        <v>NGSA</v>
      </c>
      <c r="C60" s="56" t="str">
        <f t="shared" si="62"/>
        <v xml:space="preserve"> </v>
      </c>
      <c r="D60" s="53" t="str">
        <f t="shared" si="63"/>
        <v xml:space="preserve"> </v>
      </c>
      <c r="E60" s="39" t="str">
        <f t="shared" si="64"/>
        <v xml:space="preserve"> </v>
      </c>
      <c r="F60" s="39" t="str">
        <f t="shared" si="65"/>
        <v xml:space="preserve"> </v>
      </c>
      <c r="G60" s="210" t="str">
        <f t="shared" si="66"/>
        <v xml:space="preserve"> </v>
      </c>
      <c r="I60" s="160">
        <v>282</v>
      </c>
      <c r="J60" s="195" t="s">
        <v>17</v>
      </c>
      <c r="K60" s="162" t="str">
        <f t="shared" si="127"/>
        <v xml:space="preserve"> </v>
      </c>
      <c r="L60" s="162" t="str">
        <f t="shared" si="128"/>
        <v xml:space="preserve"> </v>
      </c>
      <c r="M60" s="162" t="str">
        <f t="shared" si="129"/>
        <v xml:space="preserve"> </v>
      </c>
      <c r="N60" s="162" t="str">
        <f t="shared" si="130"/>
        <v xml:space="preserve"> </v>
      </c>
      <c r="O60" s="162" t="str">
        <f t="shared" si="131"/>
        <v xml:space="preserve"> </v>
      </c>
      <c r="P60" s="162" t="str">
        <f t="shared" si="132"/>
        <v xml:space="preserve"> </v>
      </c>
      <c r="Q60" s="162" t="str">
        <f t="shared" si="133"/>
        <v xml:space="preserve"> </v>
      </c>
      <c r="R60" s="162" t="str">
        <f t="shared" si="134"/>
        <v xml:space="preserve"> </v>
      </c>
      <c r="S60" s="162" t="str">
        <f t="shared" si="135"/>
        <v xml:space="preserve"> </v>
      </c>
      <c r="T60" s="162" t="str">
        <f t="shared" si="136"/>
        <v xml:space="preserve"> </v>
      </c>
      <c r="U60" s="162" t="str">
        <f t="shared" si="137"/>
        <v xml:space="preserve"> </v>
      </c>
      <c r="V60" s="172" t="str">
        <f t="shared" si="122"/>
        <v xml:space="preserve"> </v>
      </c>
      <c r="W60" s="185"/>
      <c r="X60" s="178" t="str">
        <f t="shared" si="138"/>
        <v xml:space="preserve"> </v>
      </c>
      <c r="Y60" s="162" t="str">
        <f t="shared" si="139"/>
        <v xml:space="preserve"> </v>
      </c>
      <c r="Z60" s="162" t="str">
        <f t="shared" si="140"/>
        <v xml:space="preserve"> </v>
      </c>
      <c r="AA60" s="162" t="str">
        <f t="shared" si="141"/>
        <v xml:space="preserve"> </v>
      </c>
      <c r="AB60" s="162" t="str">
        <f t="shared" si="142"/>
        <v xml:space="preserve"> </v>
      </c>
      <c r="AC60" s="162" t="str">
        <f t="shared" si="143"/>
        <v xml:space="preserve"> </v>
      </c>
      <c r="AD60" s="162" t="str">
        <f t="shared" si="144"/>
        <v xml:space="preserve"> </v>
      </c>
      <c r="AE60" s="162" t="str">
        <f t="shared" si="145"/>
        <v xml:space="preserve"> </v>
      </c>
      <c r="AF60" s="162" t="str">
        <f t="shared" si="146"/>
        <v xml:space="preserve"> </v>
      </c>
      <c r="AG60" s="162" t="str">
        <f t="shared" si="147"/>
        <v xml:space="preserve"> </v>
      </c>
      <c r="AH60" s="162" t="str">
        <f t="shared" si="148"/>
        <v xml:space="preserve"> </v>
      </c>
      <c r="AI60" s="172" t="str">
        <f t="shared" si="123"/>
        <v xml:space="preserve"> </v>
      </c>
      <c r="AJ60" s="185"/>
      <c r="AK60" s="160">
        <v>282</v>
      </c>
      <c r="AL60" s="195" t="s">
        <v>17</v>
      </c>
      <c r="AM60" s="178" t="str">
        <f t="shared" si="149"/>
        <v xml:space="preserve"> </v>
      </c>
      <c r="AN60" s="162" t="str">
        <f t="shared" si="150"/>
        <v xml:space="preserve"> </v>
      </c>
      <c r="AO60" s="162" t="str">
        <f t="shared" si="151"/>
        <v xml:space="preserve"> </v>
      </c>
      <c r="AP60" s="162" t="str">
        <f t="shared" si="152"/>
        <v xml:space="preserve"> </v>
      </c>
      <c r="AQ60" s="162" t="str">
        <f t="shared" si="153"/>
        <v xml:space="preserve"> </v>
      </c>
      <c r="AR60" s="162" t="str">
        <f t="shared" si="154"/>
        <v xml:space="preserve"> </v>
      </c>
      <c r="AS60" s="162" t="str">
        <f t="shared" si="155"/>
        <v xml:space="preserve"> </v>
      </c>
      <c r="AT60" s="162" t="str">
        <f t="shared" si="156"/>
        <v xml:space="preserve"> </v>
      </c>
      <c r="AU60" s="162" t="str">
        <f t="shared" si="157"/>
        <v xml:space="preserve"> </v>
      </c>
      <c r="AV60" s="162" t="str">
        <f t="shared" si="158"/>
        <v xml:space="preserve"> </v>
      </c>
      <c r="AW60" s="162" t="str">
        <f t="shared" si="159"/>
        <v xml:space="preserve"> </v>
      </c>
      <c r="AX60" s="172" t="str">
        <f t="shared" si="124"/>
        <v xml:space="preserve"> </v>
      </c>
      <c r="AY60" s="185"/>
      <c r="AZ60" s="178" t="str">
        <f t="shared" si="160"/>
        <v xml:space="preserve"> </v>
      </c>
      <c r="BA60" s="162" t="str">
        <f t="shared" si="161"/>
        <v xml:space="preserve"> </v>
      </c>
      <c r="BB60" s="162" t="str">
        <f t="shared" si="162"/>
        <v xml:space="preserve"> </v>
      </c>
      <c r="BC60" s="162" t="str">
        <f t="shared" si="163"/>
        <v xml:space="preserve"> </v>
      </c>
      <c r="BD60" s="162" t="str">
        <f t="shared" si="164"/>
        <v xml:space="preserve"> </v>
      </c>
      <c r="BE60" s="162" t="str">
        <f t="shared" si="165"/>
        <v xml:space="preserve"> </v>
      </c>
      <c r="BF60" s="162" t="str">
        <f t="shared" si="166"/>
        <v xml:space="preserve"> </v>
      </c>
      <c r="BG60" s="162" t="str">
        <f t="shared" si="167"/>
        <v xml:space="preserve"> </v>
      </c>
      <c r="BH60" s="162" t="str">
        <f t="shared" si="168"/>
        <v xml:space="preserve"> </v>
      </c>
      <c r="BI60" s="162" t="str">
        <f t="shared" si="169"/>
        <v xml:space="preserve"> </v>
      </c>
      <c r="BJ60" s="162" t="str">
        <f t="shared" si="170"/>
        <v xml:space="preserve"> </v>
      </c>
      <c r="BK60" s="172" t="str">
        <f t="shared" si="125"/>
        <v xml:space="preserve"> </v>
      </c>
      <c r="BL60" s="185"/>
      <c r="BM60" s="160">
        <v>282</v>
      </c>
      <c r="BN60" s="195" t="s">
        <v>17</v>
      </c>
      <c r="BO60" s="178" t="str">
        <f t="shared" si="171"/>
        <v xml:space="preserve"> </v>
      </c>
      <c r="BP60" s="162" t="str">
        <f t="shared" si="172"/>
        <v xml:space="preserve"> </v>
      </c>
      <c r="BQ60" s="162" t="str">
        <f t="shared" si="173"/>
        <v xml:space="preserve"> </v>
      </c>
      <c r="BR60" s="162" t="str">
        <f t="shared" si="174"/>
        <v xml:space="preserve"> </v>
      </c>
      <c r="BS60" s="162" t="str">
        <f t="shared" si="175"/>
        <v xml:space="preserve"> </v>
      </c>
      <c r="BT60" s="162" t="str">
        <f t="shared" si="176"/>
        <v xml:space="preserve"> </v>
      </c>
      <c r="BU60" s="162" t="str">
        <f t="shared" si="177"/>
        <v xml:space="preserve"> </v>
      </c>
      <c r="BV60" s="162" t="str">
        <f t="shared" si="178"/>
        <v xml:space="preserve"> </v>
      </c>
      <c r="BW60" s="162" t="str">
        <f t="shared" si="179"/>
        <v xml:space="preserve"> </v>
      </c>
      <c r="BX60" s="162" t="str">
        <f t="shared" si="180"/>
        <v xml:space="preserve"> </v>
      </c>
      <c r="BY60" s="162" t="str">
        <f t="shared" si="181"/>
        <v xml:space="preserve"> </v>
      </c>
      <c r="BZ60" s="172" t="str">
        <f t="shared" si="126"/>
        <v xml:space="preserve"> </v>
      </c>
      <c r="CA60" s="189"/>
    </row>
    <row r="61" spans="1:79" ht="15.75" x14ac:dyDescent="0.25">
      <c r="A61" s="199">
        <f t="shared" si="60"/>
        <v>289</v>
      </c>
      <c r="B61" s="199" t="str">
        <f t="shared" si="61"/>
        <v>NGSA</v>
      </c>
      <c r="C61" s="56" t="str">
        <f t="shared" si="62"/>
        <v xml:space="preserve"> </v>
      </c>
      <c r="D61" s="53" t="str">
        <f t="shared" si="63"/>
        <v xml:space="preserve"> </v>
      </c>
      <c r="E61" s="39" t="str">
        <f t="shared" si="64"/>
        <v xml:space="preserve"> </v>
      </c>
      <c r="F61" s="39" t="str">
        <f t="shared" si="65"/>
        <v xml:space="preserve"> </v>
      </c>
      <c r="G61" s="210" t="str">
        <f t="shared" si="66"/>
        <v xml:space="preserve"> </v>
      </c>
      <c r="I61" s="160">
        <v>289</v>
      </c>
      <c r="J61" s="195" t="s">
        <v>17</v>
      </c>
      <c r="K61" s="162" t="str">
        <f t="shared" si="127"/>
        <v xml:space="preserve"> </v>
      </c>
      <c r="L61" s="162" t="str">
        <f t="shared" si="128"/>
        <v xml:space="preserve"> </v>
      </c>
      <c r="M61" s="162" t="str">
        <f t="shared" si="129"/>
        <v xml:space="preserve"> </v>
      </c>
      <c r="N61" s="162" t="str">
        <f t="shared" si="130"/>
        <v xml:space="preserve"> </v>
      </c>
      <c r="O61" s="162" t="str">
        <f t="shared" si="131"/>
        <v xml:space="preserve"> </v>
      </c>
      <c r="P61" s="162" t="str">
        <f t="shared" si="132"/>
        <v xml:space="preserve"> </v>
      </c>
      <c r="Q61" s="162" t="str">
        <f t="shared" si="133"/>
        <v xml:space="preserve"> </v>
      </c>
      <c r="R61" s="162" t="str">
        <f t="shared" si="134"/>
        <v xml:space="preserve"> </v>
      </c>
      <c r="S61" s="162" t="str">
        <f t="shared" si="135"/>
        <v xml:space="preserve"> </v>
      </c>
      <c r="T61" s="162" t="str">
        <f t="shared" si="136"/>
        <v xml:space="preserve"> </v>
      </c>
      <c r="U61" s="162" t="str">
        <f t="shared" si="137"/>
        <v xml:space="preserve"> </v>
      </c>
      <c r="V61" s="172" t="str">
        <f t="shared" si="122"/>
        <v xml:space="preserve"> </v>
      </c>
      <c r="W61" s="185"/>
      <c r="X61" s="178" t="str">
        <f t="shared" si="138"/>
        <v xml:space="preserve"> </v>
      </c>
      <c r="Y61" s="162" t="str">
        <f t="shared" si="139"/>
        <v xml:space="preserve"> </v>
      </c>
      <c r="Z61" s="162" t="str">
        <f t="shared" si="140"/>
        <v xml:space="preserve"> </v>
      </c>
      <c r="AA61" s="162" t="str">
        <f t="shared" si="141"/>
        <v xml:space="preserve"> </v>
      </c>
      <c r="AB61" s="162" t="str">
        <f t="shared" si="142"/>
        <v xml:space="preserve"> </v>
      </c>
      <c r="AC61" s="162" t="str">
        <f t="shared" si="143"/>
        <v xml:space="preserve"> </v>
      </c>
      <c r="AD61" s="162" t="str">
        <f t="shared" si="144"/>
        <v xml:space="preserve"> </v>
      </c>
      <c r="AE61" s="162" t="str">
        <f t="shared" si="145"/>
        <v xml:space="preserve"> </v>
      </c>
      <c r="AF61" s="162" t="str">
        <f t="shared" si="146"/>
        <v xml:space="preserve"> </v>
      </c>
      <c r="AG61" s="162" t="str">
        <f t="shared" si="147"/>
        <v xml:space="preserve"> </v>
      </c>
      <c r="AH61" s="162" t="str">
        <f t="shared" si="148"/>
        <v xml:space="preserve"> </v>
      </c>
      <c r="AI61" s="172" t="str">
        <f t="shared" si="123"/>
        <v xml:space="preserve"> </v>
      </c>
      <c r="AJ61" s="185"/>
      <c r="AK61" s="160">
        <v>289</v>
      </c>
      <c r="AL61" s="195" t="s">
        <v>17</v>
      </c>
      <c r="AM61" s="178" t="str">
        <f t="shared" si="149"/>
        <v xml:space="preserve"> </v>
      </c>
      <c r="AN61" s="162" t="str">
        <f t="shared" si="150"/>
        <v xml:space="preserve"> </v>
      </c>
      <c r="AO61" s="162" t="str">
        <f t="shared" si="151"/>
        <v xml:space="preserve"> </v>
      </c>
      <c r="AP61" s="162" t="str">
        <f t="shared" si="152"/>
        <v xml:space="preserve"> </v>
      </c>
      <c r="AQ61" s="162" t="str">
        <f t="shared" si="153"/>
        <v xml:space="preserve"> </v>
      </c>
      <c r="AR61" s="162" t="str">
        <f t="shared" si="154"/>
        <v xml:space="preserve"> </v>
      </c>
      <c r="AS61" s="162" t="str">
        <f t="shared" si="155"/>
        <v xml:space="preserve"> </v>
      </c>
      <c r="AT61" s="162" t="str">
        <f t="shared" si="156"/>
        <v xml:space="preserve"> </v>
      </c>
      <c r="AU61" s="162" t="str">
        <f t="shared" si="157"/>
        <v xml:space="preserve"> </v>
      </c>
      <c r="AV61" s="162" t="str">
        <f t="shared" si="158"/>
        <v xml:space="preserve"> </v>
      </c>
      <c r="AW61" s="162" t="str">
        <f t="shared" si="159"/>
        <v xml:space="preserve"> </v>
      </c>
      <c r="AX61" s="172" t="str">
        <f t="shared" si="124"/>
        <v xml:space="preserve"> </v>
      </c>
      <c r="AY61" s="185"/>
      <c r="AZ61" s="178" t="str">
        <f t="shared" si="160"/>
        <v xml:space="preserve"> </v>
      </c>
      <c r="BA61" s="162" t="str">
        <f t="shared" si="161"/>
        <v xml:space="preserve"> </v>
      </c>
      <c r="BB61" s="162" t="str">
        <f t="shared" si="162"/>
        <v xml:space="preserve"> </v>
      </c>
      <c r="BC61" s="162" t="str">
        <f t="shared" si="163"/>
        <v xml:space="preserve"> </v>
      </c>
      <c r="BD61" s="162" t="str">
        <f t="shared" si="164"/>
        <v xml:space="preserve"> </v>
      </c>
      <c r="BE61" s="162" t="str">
        <f t="shared" si="165"/>
        <v xml:space="preserve"> </v>
      </c>
      <c r="BF61" s="162" t="str">
        <f t="shared" si="166"/>
        <v xml:space="preserve"> </v>
      </c>
      <c r="BG61" s="162" t="str">
        <f t="shared" si="167"/>
        <v xml:space="preserve"> </v>
      </c>
      <c r="BH61" s="162" t="str">
        <f t="shared" si="168"/>
        <v xml:space="preserve"> </v>
      </c>
      <c r="BI61" s="162" t="str">
        <f t="shared" si="169"/>
        <v xml:space="preserve"> </v>
      </c>
      <c r="BJ61" s="162" t="str">
        <f t="shared" si="170"/>
        <v xml:space="preserve"> </v>
      </c>
      <c r="BK61" s="172" t="str">
        <f t="shared" si="125"/>
        <v xml:space="preserve"> </v>
      </c>
      <c r="BL61" s="185"/>
      <c r="BM61" s="160">
        <v>289</v>
      </c>
      <c r="BN61" s="195" t="s">
        <v>17</v>
      </c>
      <c r="BO61" s="178" t="str">
        <f t="shared" si="171"/>
        <v xml:space="preserve"> </v>
      </c>
      <c r="BP61" s="162" t="str">
        <f t="shared" si="172"/>
        <v xml:space="preserve"> </v>
      </c>
      <c r="BQ61" s="162" t="str">
        <f t="shared" si="173"/>
        <v xml:space="preserve"> </v>
      </c>
      <c r="BR61" s="162" t="str">
        <f t="shared" si="174"/>
        <v xml:space="preserve"> </v>
      </c>
      <c r="BS61" s="162" t="str">
        <f t="shared" si="175"/>
        <v xml:space="preserve"> </v>
      </c>
      <c r="BT61" s="162" t="str">
        <f t="shared" si="176"/>
        <v xml:space="preserve"> </v>
      </c>
      <c r="BU61" s="162" t="str">
        <f t="shared" si="177"/>
        <v xml:space="preserve"> </v>
      </c>
      <c r="BV61" s="162" t="str">
        <f t="shared" si="178"/>
        <v xml:space="preserve"> </v>
      </c>
      <c r="BW61" s="162" t="str">
        <f t="shared" si="179"/>
        <v xml:space="preserve"> </v>
      </c>
      <c r="BX61" s="162" t="str">
        <f t="shared" si="180"/>
        <v xml:space="preserve"> </v>
      </c>
      <c r="BY61" s="162" t="str">
        <f t="shared" si="181"/>
        <v xml:space="preserve"> </v>
      </c>
      <c r="BZ61" s="172" t="str">
        <f t="shared" si="126"/>
        <v xml:space="preserve"> </v>
      </c>
      <c r="CA61" s="189"/>
    </row>
    <row r="62" spans="1:79" ht="15.75" x14ac:dyDescent="0.25">
      <c r="A62" s="199">
        <f t="shared" si="60"/>
        <v>432</v>
      </c>
      <c r="B62" s="199" t="str">
        <f t="shared" si="61"/>
        <v>NGSA</v>
      </c>
      <c r="C62" s="56" t="str">
        <f t="shared" si="62"/>
        <v xml:space="preserve"> </v>
      </c>
      <c r="D62" s="53" t="str">
        <f t="shared" si="63"/>
        <v xml:space="preserve"> </v>
      </c>
      <c r="E62" s="39" t="str">
        <f t="shared" si="64"/>
        <v xml:space="preserve"> </v>
      </c>
      <c r="F62" s="39" t="str">
        <f t="shared" si="65"/>
        <v xml:space="preserve"> </v>
      </c>
      <c r="G62" s="210" t="str">
        <f t="shared" si="66"/>
        <v xml:space="preserve"> </v>
      </c>
      <c r="I62" s="160">
        <v>432</v>
      </c>
      <c r="J62" s="195" t="s">
        <v>17</v>
      </c>
      <c r="K62" s="162" t="e">
        <f t="shared" si="127"/>
        <v>#N/A</v>
      </c>
      <c r="L62" s="162" t="e">
        <f t="shared" si="128"/>
        <v>#N/A</v>
      </c>
      <c r="M62" s="162" t="e">
        <f t="shared" si="129"/>
        <v>#N/A</v>
      </c>
      <c r="N62" s="162" t="e">
        <f t="shared" si="130"/>
        <v>#N/A</v>
      </c>
      <c r="O62" s="162" t="e">
        <f t="shared" si="131"/>
        <v>#N/A</v>
      </c>
      <c r="P62" s="162" t="e">
        <f t="shared" si="132"/>
        <v>#N/A</v>
      </c>
      <c r="Q62" s="162" t="e">
        <f t="shared" si="133"/>
        <v>#N/A</v>
      </c>
      <c r="R62" s="162" t="e">
        <f t="shared" si="134"/>
        <v>#N/A</v>
      </c>
      <c r="S62" s="162" t="str">
        <f t="shared" si="135"/>
        <v xml:space="preserve"> </v>
      </c>
      <c r="T62" s="162" t="str">
        <f t="shared" si="136"/>
        <v xml:space="preserve"> </v>
      </c>
      <c r="U62" s="162" t="str">
        <f t="shared" si="137"/>
        <v xml:space="preserve"> </v>
      </c>
      <c r="V62" s="172" t="str">
        <f t="shared" si="122"/>
        <v xml:space="preserve"> </v>
      </c>
      <c r="W62" s="185"/>
      <c r="X62" s="178" t="e">
        <f t="shared" si="138"/>
        <v>#N/A</v>
      </c>
      <c r="Y62" s="162" t="e">
        <f t="shared" si="139"/>
        <v>#N/A</v>
      </c>
      <c r="Z62" s="162" t="e">
        <f t="shared" si="140"/>
        <v>#N/A</v>
      </c>
      <c r="AA62" s="162" t="e">
        <f t="shared" si="141"/>
        <v>#N/A</v>
      </c>
      <c r="AB62" s="162" t="e">
        <f t="shared" si="142"/>
        <v>#N/A</v>
      </c>
      <c r="AC62" s="162" t="e">
        <f t="shared" si="143"/>
        <v>#N/A</v>
      </c>
      <c r="AD62" s="162" t="e">
        <f t="shared" si="144"/>
        <v>#N/A</v>
      </c>
      <c r="AE62" s="162" t="e">
        <f t="shared" si="145"/>
        <v>#N/A</v>
      </c>
      <c r="AF62" s="162" t="str">
        <f t="shared" si="146"/>
        <v xml:space="preserve"> </v>
      </c>
      <c r="AG62" s="162" t="str">
        <f t="shared" si="147"/>
        <v xml:space="preserve"> </v>
      </c>
      <c r="AH62" s="162" t="str">
        <f t="shared" si="148"/>
        <v xml:space="preserve"> </v>
      </c>
      <c r="AI62" s="172" t="str">
        <f t="shared" si="123"/>
        <v xml:space="preserve"> </v>
      </c>
      <c r="AJ62" s="185"/>
      <c r="AK62" s="160">
        <v>432</v>
      </c>
      <c r="AL62" s="195" t="s">
        <v>17</v>
      </c>
      <c r="AM62" s="178" t="e">
        <f t="shared" si="149"/>
        <v>#N/A</v>
      </c>
      <c r="AN62" s="162" t="e">
        <f t="shared" si="150"/>
        <v>#N/A</v>
      </c>
      <c r="AO62" s="162" t="e">
        <f t="shared" si="151"/>
        <v>#N/A</v>
      </c>
      <c r="AP62" s="162" t="e">
        <f t="shared" si="152"/>
        <v>#N/A</v>
      </c>
      <c r="AQ62" s="162" t="e">
        <f t="shared" si="153"/>
        <v>#N/A</v>
      </c>
      <c r="AR62" s="162" t="e">
        <f t="shared" si="154"/>
        <v>#N/A</v>
      </c>
      <c r="AS62" s="162" t="e">
        <f t="shared" si="155"/>
        <v>#N/A</v>
      </c>
      <c r="AT62" s="162" t="e">
        <f t="shared" si="156"/>
        <v>#N/A</v>
      </c>
      <c r="AU62" s="162" t="str">
        <f t="shared" si="157"/>
        <v xml:space="preserve"> </v>
      </c>
      <c r="AV62" s="162" t="str">
        <f t="shared" si="158"/>
        <v xml:space="preserve"> </v>
      </c>
      <c r="AW62" s="162" t="str">
        <f t="shared" si="159"/>
        <v xml:space="preserve"> </v>
      </c>
      <c r="AX62" s="172" t="str">
        <f t="shared" si="124"/>
        <v xml:space="preserve"> </v>
      </c>
      <c r="AY62" s="185"/>
      <c r="AZ62" s="178" t="e">
        <f t="shared" si="160"/>
        <v>#N/A</v>
      </c>
      <c r="BA62" s="162" t="e">
        <f t="shared" si="161"/>
        <v>#N/A</v>
      </c>
      <c r="BB62" s="162" t="e">
        <f t="shared" si="162"/>
        <v>#N/A</v>
      </c>
      <c r="BC62" s="162" t="e">
        <f t="shared" si="163"/>
        <v>#N/A</v>
      </c>
      <c r="BD62" s="162" t="e">
        <f t="shared" si="164"/>
        <v>#N/A</v>
      </c>
      <c r="BE62" s="162" t="e">
        <f t="shared" si="165"/>
        <v>#N/A</v>
      </c>
      <c r="BF62" s="162" t="e">
        <f t="shared" si="166"/>
        <v>#N/A</v>
      </c>
      <c r="BG62" s="162" t="e">
        <f t="shared" si="167"/>
        <v>#N/A</v>
      </c>
      <c r="BH62" s="162" t="str">
        <f t="shared" si="168"/>
        <v xml:space="preserve"> </v>
      </c>
      <c r="BI62" s="162" t="str">
        <f t="shared" si="169"/>
        <v xml:space="preserve"> </v>
      </c>
      <c r="BJ62" s="162" t="str">
        <f t="shared" si="170"/>
        <v xml:space="preserve"> </v>
      </c>
      <c r="BK62" s="172" t="str">
        <f t="shared" si="125"/>
        <v xml:space="preserve"> </v>
      </c>
      <c r="BL62" s="185"/>
      <c r="BM62" s="160">
        <v>432</v>
      </c>
      <c r="BN62" s="195" t="s">
        <v>17</v>
      </c>
      <c r="BO62" s="178" t="e">
        <f t="shared" si="171"/>
        <v>#N/A</v>
      </c>
      <c r="BP62" s="162" t="e">
        <f t="shared" si="172"/>
        <v>#N/A</v>
      </c>
      <c r="BQ62" s="162" t="e">
        <f t="shared" si="173"/>
        <v>#N/A</v>
      </c>
      <c r="BR62" s="162" t="e">
        <f t="shared" si="174"/>
        <v>#N/A</v>
      </c>
      <c r="BS62" s="162" t="e">
        <f t="shared" si="175"/>
        <v>#N/A</v>
      </c>
      <c r="BT62" s="162" t="e">
        <f t="shared" si="176"/>
        <v>#N/A</v>
      </c>
      <c r="BU62" s="162" t="e">
        <f t="shared" si="177"/>
        <v>#N/A</v>
      </c>
      <c r="BV62" s="162" t="e">
        <f t="shared" si="178"/>
        <v>#N/A</v>
      </c>
      <c r="BW62" s="162" t="str">
        <f t="shared" si="179"/>
        <v xml:space="preserve"> </v>
      </c>
      <c r="BX62" s="162" t="str">
        <f t="shared" si="180"/>
        <v xml:space="preserve"> </v>
      </c>
      <c r="BY62" s="162" t="str">
        <f t="shared" si="181"/>
        <v xml:space="preserve"> </v>
      </c>
      <c r="BZ62" s="172" t="str">
        <f t="shared" si="126"/>
        <v xml:space="preserve"> </v>
      </c>
      <c r="CA62" s="189"/>
    </row>
    <row r="63" spans="1:79" ht="15.75" x14ac:dyDescent="0.25">
      <c r="A63" s="199">
        <f t="shared" si="60"/>
        <v>476</v>
      </c>
      <c r="B63" s="199" t="str">
        <f t="shared" si="61"/>
        <v>NGSA</v>
      </c>
      <c r="C63" s="56" t="str">
        <f t="shared" si="62"/>
        <v xml:space="preserve"> </v>
      </c>
      <c r="D63" s="53" t="str">
        <f t="shared" si="63"/>
        <v xml:space="preserve"> </v>
      </c>
      <c r="E63" s="39" t="str">
        <f t="shared" si="64"/>
        <v xml:space="preserve"> </v>
      </c>
      <c r="F63" s="39" t="str">
        <f t="shared" si="65"/>
        <v xml:space="preserve"> </v>
      </c>
      <c r="G63" s="210" t="str">
        <f t="shared" si="66"/>
        <v xml:space="preserve"> </v>
      </c>
      <c r="I63" s="160">
        <v>476</v>
      </c>
      <c r="J63" s="195" t="s">
        <v>17</v>
      </c>
      <c r="K63" s="162" t="str">
        <f t="shared" si="127"/>
        <v xml:space="preserve"> </v>
      </c>
      <c r="L63" s="162" t="str">
        <f t="shared" si="128"/>
        <v xml:space="preserve"> </v>
      </c>
      <c r="M63" s="162" t="str">
        <f t="shared" si="129"/>
        <v xml:space="preserve"> </v>
      </c>
      <c r="N63" s="162" t="str">
        <f t="shared" si="130"/>
        <v xml:space="preserve"> </v>
      </c>
      <c r="O63" s="162" t="str">
        <f t="shared" si="131"/>
        <v xml:space="preserve"> </v>
      </c>
      <c r="P63" s="162" t="str">
        <f t="shared" si="132"/>
        <v xml:space="preserve"> </v>
      </c>
      <c r="Q63" s="162" t="str">
        <f t="shared" si="133"/>
        <v xml:space="preserve"> </v>
      </c>
      <c r="R63" s="162" t="str">
        <f t="shared" si="134"/>
        <v xml:space="preserve"> </v>
      </c>
      <c r="S63" s="162" t="str">
        <f t="shared" si="135"/>
        <v xml:space="preserve"> </v>
      </c>
      <c r="T63" s="162" t="str">
        <f t="shared" si="136"/>
        <v xml:space="preserve"> </v>
      </c>
      <c r="U63" s="162" t="str">
        <f t="shared" si="137"/>
        <v xml:space="preserve"> </v>
      </c>
      <c r="V63" s="172" t="str">
        <f t="shared" si="122"/>
        <v xml:space="preserve"> </v>
      </c>
      <c r="W63" s="185"/>
      <c r="X63" s="178" t="str">
        <f t="shared" si="138"/>
        <v xml:space="preserve"> </v>
      </c>
      <c r="Y63" s="162" t="str">
        <f t="shared" si="139"/>
        <v xml:space="preserve"> </v>
      </c>
      <c r="Z63" s="162" t="str">
        <f t="shared" si="140"/>
        <v xml:space="preserve"> </v>
      </c>
      <c r="AA63" s="162" t="str">
        <f t="shared" si="141"/>
        <v xml:space="preserve"> </v>
      </c>
      <c r="AB63" s="162" t="str">
        <f t="shared" si="142"/>
        <v xml:space="preserve"> </v>
      </c>
      <c r="AC63" s="162" t="str">
        <f t="shared" si="143"/>
        <v xml:space="preserve"> </v>
      </c>
      <c r="AD63" s="162" t="str">
        <f t="shared" si="144"/>
        <v xml:space="preserve"> </v>
      </c>
      <c r="AE63" s="162" t="str">
        <f t="shared" si="145"/>
        <v xml:space="preserve"> </v>
      </c>
      <c r="AF63" s="162" t="str">
        <f t="shared" si="146"/>
        <v xml:space="preserve"> </v>
      </c>
      <c r="AG63" s="162" t="str">
        <f t="shared" si="147"/>
        <v xml:space="preserve"> </v>
      </c>
      <c r="AH63" s="162" t="str">
        <f t="shared" si="148"/>
        <v xml:space="preserve"> </v>
      </c>
      <c r="AI63" s="172" t="str">
        <f t="shared" si="123"/>
        <v xml:space="preserve"> </v>
      </c>
      <c r="AJ63" s="185"/>
      <c r="AK63" s="160">
        <v>476</v>
      </c>
      <c r="AL63" s="195" t="s">
        <v>17</v>
      </c>
      <c r="AM63" s="178" t="str">
        <f t="shared" si="149"/>
        <v xml:space="preserve"> </v>
      </c>
      <c r="AN63" s="162" t="str">
        <f t="shared" si="150"/>
        <v xml:space="preserve"> </v>
      </c>
      <c r="AO63" s="162" t="str">
        <f t="shared" si="151"/>
        <v xml:space="preserve"> </v>
      </c>
      <c r="AP63" s="162" t="str">
        <f t="shared" si="152"/>
        <v xml:space="preserve"> </v>
      </c>
      <c r="AQ63" s="162" t="str">
        <f t="shared" si="153"/>
        <v xml:space="preserve"> </v>
      </c>
      <c r="AR63" s="162" t="str">
        <f t="shared" si="154"/>
        <v xml:space="preserve"> </v>
      </c>
      <c r="AS63" s="162" t="str">
        <f t="shared" si="155"/>
        <v xml:space="preserve"> </v>
      </c>
      <c r="AT63" s="162" t="str">
        <f t="shared" si="156"/>
        <v xml:space="preserve"> </v>
      </c>
      <c r="AU63" s="162" t="str">
        <f t="shared" si="157"/>
        <v xml:space="preserve"> </v>
      </c>
      <c r="AV63" s="162" t="str">
        <f t="shared" si="158"/>
        <v xml:space="preserve"> </v>
      </c>
      <c r="AW63" s="162" t="str">
        <f t="shared" si="159"/>
        <v xml:space="preserve"> </v>
      </c>
      <c r="AX63" s="172" t="str">
        <f t="shared" si="124"/>
        <v xml:space="preserve"> </v>
      </c>
      <c r="AY63" s="185"/>
      <c r="AZ63" s="178" t="str">
        <f t="shared" si="160"/>
        <v xml:space="preserve"> </v>
      </c>
      <c r="BA63" s="162" t="str">
        <f t="shared" si="161"/>
        <v xml:space="preserve"> </v>
      </c>
      <c r="BB63" s="162" t="str">
        <f t="shared" si="162"/>
        <v xml:space="preserve"> </v>
      </c>
      <c r="BC63" s="162" t="str">
        <f t="shared" si="163"/>
        <v xml:space="preserve"> </v>
      </c>
      <c r="BD63" s="162" t="str">
        <f t="shared" si="164"/>
        <v xml:space="preserve"> </v>
      </c>
      <c r="BE63" s="162" t="str">
        <f t="shared" si="165"/>
        <v xml:space="preserve"> </v>
      </c>
      <c r="BF63" s="162" t="str">
        <f t="shared" si="166"/>
        <v xml:space="preserve"> </v>
      </c>
      <c r="BG63" s="162" t="str">
        <f t="shared" si="167"/>
        <v xml:space="preserve"> </v>
      </c>
      <c r="BH63" s="162" t="str">
        <f t="shared" si="168"/>
        <v xml:space="preserve"> </v>
      </c>
      <c r="BI63" s="162" t="str">
        <f t="shared" si="169"/>
        <v xml:space="preserve"> </v>
      </c>
      <c r="BJ63" s="162" t="str">
        <f t="shared" si="170"/>
        <v xml:space="preserve"> </v>
      </c>
      <c r="BK63" s="172" t="str">
        <f t="shared" si="125"/>
        <v xml:space="preserve"> </v>
      </c>
      <c r="BL63" s="185"/>
      <c r="BM63" s="160">
        <v>476</v>
      </c>
      <c r="BN63" s="195" t="s">
        <v>17</v>
      </c>
      <c r="BO63" s="178" t="str">
        <f t="shared" si="171"/>
        <v xml:space="preserve"> </v>
      </c>
      <c r="BP63" s="162" t="str">
        <f t="shared" si="172"/>
        <v xml:space="preserve"> </v>
      </c>
      <c r="BQ63" s="162" t="str">
        <f t="shared" si="173"/>
        <v xml:space="preserve"> </v>
      </c>
      <c r="BR63" s="162" t="str">
        <f t="shared" si="174"/>
        <v xml:space="preserve"> </v>
      </c>
      <c r="BS63" s="162" t="str">
        <f t="shared" si="175"/>
        <v xml:space="preserve"> </v>
      </c>
      <c r="BT63" s="162" t="str">
        <f t="shared" si="176"/>
        <v xml:space="preserve"> </v>
      </c>
      <c r="BU63" s="162" t="str">
        <f t="shared" si="177"/>
        <v xml:space="preserve"> </v>
      </c>
      <c r="BV63" s="162" t="str">
        <f t="shared" si="178"/>
        <v xml:space="preserve"> </v>
      </c>
      <c r="BW63" s="162" t="str">
        <f t="shared" si="179"/>
        <v xml:space="preserve"> </v>
      </c>
      <c r="BX63" s="162" t="str">
        <f t="shared" si="180"/>
        <v xml:space="preserve"> </v>
      </c>
      <c r="BY63" s="162" t="str">
        <f t="shared" si="181"/>
        <v xml:space="preserve"> </v>
      </c>
      <c r="BZ63" s="172" t="str">
        <f t="shared" si="126"/>
        <v xml:space="preserve"> </v>
      </c>
      <c r="CA63" s="189"/>
    </row>
    <row r="64" spans="1:79" ht="15.75" x14ac:dyDescent="0.25">
      <c r="A64" s="199">
        <f t="shared" si="60"/>
        <v>512</v>
      </c>
      <c r="B64" s="199" t="str">
        <f t="shared" si="61"/>
        <v>NGSA</v>
      </c>
      <c r="C64" s="56" t="str">
        <f t="shared" si="62"/>
        <v xml:space="preserve"> </v>
      </c>
      <c r="D64" s="53" t="str">
        <f t="shared" si="63"/>
        <v xml:space="preserve"> </v>
      </c>
      <c r="E64" s="39" t="str">
        <f t="shared" si="64"/>
        <v xml:space="preserve"> </v>
      </c>
      <c r="F64" s="39">
        <f t="shared" si="65"/>
        <v>8</v>
      </c>
      <c r="G64" s="210" t="str">
        <f t="shared" si="66"/>
        <v xml:space="preserve"> </v>
      </c>
      <c r="I64" s="160">
        <v>512</v>
      </c>
      <c r="J64" s="195" t="s">
        <v>17</v>
      </c>
      <c r="K64" s="162" t="str">
        <f t="shared" si="127"/>
        <v xml:space="preserve"> </v>
      </c>
      <c r="L64" s="162" t="str">
        <f t="shared" si="128"/>
        <v xml:space="preserve"> </v>
      </c>
      <c r="M64" s="162" t="str">
        <f t="shared" si="129"/>
        <v xml:space="preserve"> </v>
      </c>
      <c r="N64" s="162" t="str">
        <f t="shared" si="130"/>
        <v xml:space="preserve"> </v>
      </c>
      <c r="O64" s="162" t="str">
        <f t="shared" si="131"/>
        <v xml:space="preserve"> </v>
      </c>
      <c r="P64" s="162" t="str">
        <f t="shared" si="132"/>
        <v xml:space="preserve"> </v>
      </c>
      <c r="Q64" s="162" t="str">
        <f t="shared" si="133"/>
        <v xml:space="preserve"> </v>
      </c>
      <c r="R64" s="162" t="str">
        <f t="shared" si="134"/>
        <v xml:space="preserve"> </v>
      </c>
      <c r="S64" s="162" t="str">
        <f t="shared" si="135"/>
        <v xml:space="preserve"> </v>
      </c>
      <c r="T64" s="162" t="str">
        <f t="shared" si="136"/>
        <v xml:space="preserve"> </v>
      </c>
      <c r="U64" s="162" t="str">
        <f t="shared" si="137"/>
        <v xml:space="preserve"> </v>
      </c>
      <c r="V64" s="172" t="str">
        <f t="shared" si="122"/>
        <v xml:space="preserve"> </v>
      </c>
      <c r="W64" s="185"/>
      <c r="X64" s="178" t="str">
        <f t="shared" si="138"/>
        <v xml:space="preserve"> </v>
      </c>
      <c r="Y64" s="162" t="str">
        <f t="shared" si="139"/>
        <v xml:space="preserve"> </v>
      </c>
      <c r="Z64" s="162" t="str">
        <f t="shared" si="140"/>
        <v xml:space="preserve"> </v>
      </c>
      <c r="AA64" s="162" t="str">
        <f t="shared" si="141"/>
        <v xml:space="preserve"> </v>
      </c>
      <c r="AB64" s="162" t="str">
        <f t="shared" si="142"/>
        <v xml:space="preserve"> </v>
      </c>
      <c r="AC64" s="162" t="str">
        <f t="shared" si="143"/>
        <v xml:space="preserve"> </v>
      </c>
      <c r="AD64" s="162" t="str">
        <f t="shared" si="144"/>
        <v xml:space="preserve"> </v>
      </c>
      <c r="AE64" s="162" t="str">
        <f t="shared" si="145"/>
        <v xml:space="preserve"> </v>
      </c>
      <c r="AF64" s="162" t="str">
        <f t="shared" si="146"/>
        <v xml:space="preserve"> </v>
      </c>
      <c r="AG64" s="162" t="str">
        <f t="shared" si="147"/>
        <v xml:space="preserve"> </v>
      </c>
      <c r="AH64" s="162" t="str">
        <f t="shared" si="148"/>
        <v xml:space="preserve"> </v>
      </c>
      <c r="AI64" s="172" t="str">
        <f t="shared" si="123"/>
        <v xml:space="preserve"> </v>
      </c>
      <c r="AJ64" s="185"/>
      <c r="AK64" s="160">
        <v>512</v>
      </c>
      <c r="AL64" s="195" t="s">
        <v>17</v>
      </c>
      <c r="AM64" s="178" t="str">
        <f t="shared" si="149"/>
        <v xml:space="preserve"> </v>
      </c>
      <c r="AN64" s="162" t="str">
        <f t="shared" si="150"/>
        <v xml:space="preserve"> </v>
      </c>
      <c r="AO64" s="162" t="str">
        <f t="shared" si="151"/>
        <v xml:space="preserve"> </v>
      </c>
      <c r="AP64" s="162" t="str">
        <f t="shared" si="152"/>
        <v xml:space="preserve"> </v>
      </c>
      <c r="AQ64" s="162" t="str">
        <f t="shared" si="153"/>
        <v xml:space="preserve"> </v>
      </c>
      <c r="AR64" s="162" t="str">
        <f t="shared" si="154"/>
        <v xml:space="preserve"> </v>
      </c>
      <c r="AS64" s="162" t="str">
        <f t="shared" si="155"/>
        <v xml:space="preserve"> </v>
      </c>
      <c r="AT64" s="162" t="str">
        <f t="shared" si="156"/>
        <v xml:space="preserve"> </v>
      </c>
      <c r="AU64" s="162" t="str">
        <f t="shared" si="157"/>
        <v xml:space="preserve"> </v>
      </c>
      <c r="AV64" s="162" t="str">
        <f t="shared" si="158"/>
        <v xml:space="preserve"> </v>
      </c>
      <c r="AW64" s="162" t="str">
        <f t="shared" si="159"/>
        <v xml:space="preserve"> </v>
      </c>
      <c r="AX64" s="172" t="str">
        <f t="shared" si="124"/>
        <v xml:space="preserve"> </v>
      </c>
      <c r="AY64" s="185"/>
      <c r="AZ64" s="178" t="str">
        <f t="shared" si="160"/>
        <v xml:space="preserve"> </v>
      </c>
      <c r="BA64" s="162" t="str">
        <f t="shared" si="161"/>
        <v xml:space="preserve"> </v>
      </c>
      <c r="BB64" s="162" t="str">
        <f t="shared" si="162"/>
        <v xml:space="preserve"> </v>
      </c>
      <c r="BC64" s="162" t="str">
        <f t="shared" si="163"/>
        <v xml:space="preserve"> </v>
      </c>
      <c r="BD64" s="162" t="str">
        <f t="shared" si="164"/>
        <v xml:space="preserve"> </v>
      </c>
      <c r="BE64" s="162" t="str">
        <f t="shared" si="165"/>
        <v xml:space="preserve"> </v>
      </c>
      <c r="BF64" s="162" t="str">
        <f t="shared" si="166"/>
        <v xml:space="preserve"> </v>
      </c>
      <c r="BG64" s="162" t="str">
        <f t="shared" si="167"/>
        <v xml:space="preserve"> </v>
      </c>
      <c r="BH64" s="162" t="str">
        <f t="shared" si="168"/>
        <v xml:space="preserve"> </v>
      </c>
      <c r="BI64" s="162" t="str">
        <f t="shared" si="169"/>
        <v xml:space="preserve"> </v>
      </c>
      <c r="BJ64" s="162" t="str">
        <f t="shared" si="170"/>
        <v xml:space="preserve"> </v>
      </c>
      <c r="BK64" s="172" t="str">
        <f t="shared" si="125"/>
        <v xml:space="preserve"> </v>
      </c>
      <c r="BL64" s="185"/>
      <c r="BM64" s="160">
        <v>512</v>
      </c>
      <c r="BN64" s="195" t="s">
        <v>17</v>
      </c>
      <c r="BO64" s="178" t="str">
        <f t="shared" si="171"/>
        <v>X</v>
      </c>
      <c r="BP64" s="162" t="str">
        <f t="shared" si="172"/>
        <v>X</v>
      </c>
      <c r="BQ64" s="162" t="str">
        <f t="shared" si="173"/>
        <v>X</v>
      </c>
      <c r="BR64" s="162" t="str">
        <f t="shared" si="174"/>
        <v>X</v>
      </c>
      <c r="BS64" s="162" t="str">
        <f t="shared" si="175"/>
        <v xml:space="preserve"> </v>
      </c>
      <c r="BT64" s="162" t="str">
        <f t="shared" si="176"/>
        <v>X</v>
      </c>
      <c r="BU64" s="162" t="str">
        <f t="shared" si="177"/>
        <v xml:space="preserve"> </v>
      </c>
      <c r="BV64" s="162" t="str">
        <f t="shared" si="178"/>
        <v xml:space="preserve"> </v>
      </c>
      <c r="BW64" s="162" t="str">
        <f t="shared" si="179"/>
        <v>X</v>
      </c>
      <c r="BX64" s="162" t="str">
        <f t="shared" si="180"/>
        <v>X</v>
      </c>
      <c r="BY64" s="162" t="str">
        <f t="shared" si="181"/>
        <v>X</v>
      </c>
      <c r="BZ64" s="172">
        <f t="shared" si="126"/>
        <v>8</v>
      </c>
      <c r="CA64" s="189"/>
    </row>
    <row r="65" spans="1:79" ht="15.75" x14ac:dyDescent="0.25">
      <c r="A65" s="199">
        <f t="shared" si="60"/>
        <v>757</v>
      </c>
      <c r="B65" s="199" t="str">
        <f t="shared" si="61"/>
        <v>NGSA</v>
      </c>
      <c r="C65" s="56" t="str">
        <f t="shared" si="62"/>
        <v xml:space="preserve"> </v>
      </c>
      <c r="D65" s="53" t="str">
        <f t="shared" si="63"/>
        <v xml:space="preserve"> </v>
      </c>
      <c r="E65" s="39" t="str">
        <f t="shared" si="64"/>
        <v xml:space="preserve"> </v>
      </c>
      <c r="F65" s="39" t="str">
        <f t="shared" si="65"/>
        <v xml:space="preserve"> </v>
      </c>
      <c r="G65" s="210" t="str">
        <f t="shared" si="66"/>
        <v xml:space="preserve"> </v>
      </c>
      <c r="I65" s="160">
        <v>757</v>
      </c>
      <c r="J65" s="195" t="s">
        <v>17</v>
      </c>
      <c r="K65" s="162" t="str">
        <f t="shared" si="127"/>
        <v xml:space="preserve"> </v>
      </c>
      <c r="L65" s="162" t="str">
        <f t="shared" si="128"/>
        <v xml:space="preserve"> </v>
      </c>
      <c r="M65" s="162" t="str">
        <f t="shared" si="129"/>
        <v xml:space="preserve"> </v>
      </c>
      <c r="N65" s="162" t="str">
        <f t="shared" si="130"/>
        <v xml:space="preserve"> </v>
      </c>
      <c r="O65" s="162" t="str">
        <f t="shared" si="131"/>
        <v xml:space="preserve"> </v>
      </c>
      <c r="P65" s="162" t="str">
        <f t="shared" si="132"/>
        <v xml:space="preserve"> </v>
      </c>
      <c r="Q65" s="162" t="str">
        <f t="shared" si="133"/>
        <v xml:space="preserve"> </v>
      </c>
      <c r="R65" s="162" t="str">
        <f t="shared" si="134"/>
        <v xml:space="preserve"> </v>
      </c>
      <c r="S65" s="162" t="str">
        <f t="shared" si="135"/>
        <v xml:space="preserve"> </v>
      </c>
      <c r="T65" s="162" t="str">
        <f t="shared" si="136"/>
        <v xml:space="preserve"> </v>
      </c>
      <c r="U65" s="162" t="str">
        <f t="shared" si="137"/>
        <v xml:space="preserve"> </v>
      </c>
      <c r="V65" s="172" t="str">
        <f t="shared" si="122"/>
        <v xml:space="preserve"> </v>
      </c>
      <c r="W65" s="185"/>
      <c r="X65" s="178" t="str">
        <f t="shared" si="138"/>
        <v xml:space="preserve"> </v>
      </c>
      <c r="Y65" s="162" t="str">
        <f t="shared" si="139"/>
        <v xml:space="preserve"> </v>
      </c>
      <c r="Z65" s="162" t="str">
        <f t="shared" si="140"/>
        <v xml:space="preserve"> </v>
      </c>
      <c r="AA65" s="162" t="str">
        <f t="shared" si="141"/>
        <v xml:space="preserve"> </v>
      </c>
      <c r="AB65" s="162" t="str">
        <f t="shared" si="142"/>
        <v xml:space="preserve"> </v>
      </c>
      <c r="AC65" s="162" t="str">
        <f t="shared" si="143"/>
        <v xml:space="preserve"> </v>
      </c>
      <c r="AD65" s="162" t="str">
        <f t="shared" si="144"/>
        <v xml:space="preserve"> </v>
      </c>
      <c r="AE65" s="162" t="str">
        <f t="shared" si="145"/>
        <v xml:space="preserve"> </v>
      </c>
      <c r="AF65" s="162" t="str">
        <f t="shared" si="146"/>
        <v xml:space="preserve"> </v>
      </c>
      <c r="AG65" s="162" t="str">
        <f t="shared" si="147"/>
        <v xml:space="preserve"> </v>
      </c>
      <c r="AH65" s="162" t="str">
        <f t="shared" si="148"/>
        <v xml:space="preserve"> </v>
      </c>
      <c r="AI65" s="172" t="str">
        <f t="shared" si="123"/>
        <v xml:space="preserve"> </v>
      </c>
      <c r="AJ65" s="185"/>
      <c r="AK65" s="160">
        <v>757</v>
      </c>
      <c r="AL65" s="195" t="s">
        <v>17</v>
      </c>
      <c r="AM65" s="178" t="str">
        <f t="shared" si="149"/>
        <v xml:space="preserve"> </v>
      </c>
      <c r="AN65" s="162" t="str">
        <f t="shared" si="150"/>
        <v xml:space="preserve"> </v>
      </c>
      <c r="AO65" s="162" t="str">
        <f t="shared" si="151"/>
        <v xml:space="preserve"> </v>
      </c>
      <c r="AP65" s="162" t="str">
        <f t="shared" si="152"/>
        <v xml:space="preserve"> </v>
      </c>
      <c r="AQ65" s="162" t="str">
        <f t="shared" si="153"/>
        <v xml:space="preserve"> </v>
      </c>
      <c r="AR65" s="162" t="str">
        <f t="shared" si="154"/>
        <v xml:space="preserve"> </v>
      </c>
      <c r="AS65" s="162" t="str">
        <f t="shared" si="155"/>
        <v xml:space="preserve"> </v>
      </c>
      <c r="AT65" s="162" t="str">
        <f t="shared" si="156"/>
        <v xml:space="preserve"> </v>
      </c>
      <c r="AU65" s="162" t="str">
        <f t="shared" si="157"/>
        <v xml:space="preserve"> </v>
      </c>
      <c r="AV65" s="162" t="str">
        <f t="shared" si="158"/>
        <v xml:space="preserve"> </v>
      </c>
      <c r="AW65" s="162" t="str">
        <f t="shared" si="159"/>
        <v xml:space="preserve"> </v>
      </c>
      <c r="AX65" s="172" t="str">
        <f t="shared" si="124"/>
        <v xml:space="preserve"> </v>
      </c>
      <c r="AY65" s="185"/>
      <c r="AZ65" s="178" t="str">
        <f t="shared" si="160"/>
        <v xml:space="preserve"> </v>
      </c>
      <c r="BA65" s="162" t="str">
        <f t="shared" si="161"/>
        <v xml:space="preserve"> </v>
      </c>
      <c r="BB65" s="162" t="str">
        <f t="shared" si="162"/>
        <v xml:space="preserve"> </v>
      </c>
      <c r="BC65" s="162" t="str">
        <f t="shared" si="163"/>
        <v xml:space="preserve"> </v>
      </c>
      <c r="BD65" s="162" t="str">
        <f t="shared" si="164"/>
        <v xml:space="preserve"> </v>
      </c>
      <c r="BE65" s="162" t="str">
        <f t="shared" si="165"/>
        <v xml:space="preserve"> </v>
      </c>
      <c r="BF65" s="162" t="str">
        <f t="shared" si="166"/>
        <v xml:space="preserve"> </v>
      </c>
      <c r="BG65" s="162" t="str">
        <f t="shared" si="167"/>
        <v xml:space="preserve"> </v>
      </c>
      <c r="BH65" s="162" t="str">
        <f t="shared" si="168"/>
        <v xml:space="preserve"> </v>
      </c>
      <c r="BI65" s="162" t="str">
        <f t="shared" si="169"/>
        <v xml:space="preserve"> </v>
      </c>
      <c r="BJ65" s="162" t="str">
        <f t="shared" si="170"/>
        <v xml:space="preserve"> </v>
      </c>
      <c r="BK65" s="172" t="str">
        <f t="shared" si="125"/>
        <v xml:space="preserve"> </v>
      </c>
      <c r="BL65" s="185"/>
      <c r="BM65" s="160">
        <v>757</v>
      </c>
      <c r="BN65" s="195" t="s">
        <v>17</v>
      </c>
      <c r="BO65" s="178" t="str">
        <f t="shared" si="171"/>
        <v xml:space="preserve"> </v>
      </c>
      <c r="BP65" s="162" t="str">
        <f t="shared" si="172"/>
        <v xml:space="preserve"> </v>
      </c>
      <c r="BQ65" s="162" t="str">
        <f t="shared" si="173"/>
        <v xml:space="preserve"> </v>
      </c>
      <c r="BR65" s="162" t="str">
        <f t="shared" si="174"/>
        <v xml:space="preserve"> </v>
      </c>
      <c r="BS65" s="162" t="str">
        <f t="shared" si="175"/>
        <v xml:space="preserve"> </v>
      </c>
      <c r="BT65" s="162" t="str">
        <f t="shared" si="176"/>
        <v xml:space="preserve"> </v>
      </c>
      <c r="BU65" s="162" t="str">
        <f t="shared" si="177"/>
        <v xml:space="preserve"> </v>
      </c>
      <c r="BV65" s="162" t="str">
        <f t="shared" si="178"/>
        <v xml:space="preserve"> </v>
      </c>
      <c r="BW65" s="162" t="str">
        <f t="shared" si="179"/>
        <v xml:space="preserve"> </v>
      </c>
      <c r="BX65" s="162" t="str">
        <f t="shared" si="180"/>
        <v xml:space="preserve"> </v>
      </c>
      <c r="BY65" s="162" t="str">
        <f t="shared" si="181"/>
        <v xml:space="preserve"> </v>
      </c>
      <c r="BZ65" s="172" t="str">
        <f t="shared" si="126"/>
        <v xml:space="preserve"> </v>
      </c>
      <c r="CA65" s="189"/>
    </row>
    <row r="66" spans="1:79" ht="15.75" x14ac:dyDescent="0.25">
      <c r="A66" s="199">
        <f t="shared" si="60"/>
        <v>761</v>
      </c>
      <c r="B66" s="199" t="str">
        <f t="shared" si="61"/>
        <v>NGSA</v>
      </c>
      <c r="C66" s="56" t="str">
        <f t="shared" si="62"/>
        <v xml:space="preserve"> </v>
      </c>
      <c r="D66" s="53" t="str">
        <f t="shared" si="63"/>
        <v xml:space="preserve"> </v>
      </c>
      <c r="E66" s="39" t="str">
        <f t="shared" si="64"/>
        <v xml:space="preserve"> </v>
      </c>
      <c r="F66" s="39" t="str">
        <f t="shared" si="65"/>
        <v xml:space="preserve"> </v>
      </c>
      <c r="G66" s="210" t="str">
        <f t="shared" si="66"/>
        <v xml:space="preserve"> </v>
      </c>
      <c r="I66" s="160">
        <v>761</v>
      </c>
      <c r="J66" s="195" t="s">
        <v>17</v>
      </c>
      <c r="K66" s="162" t="str">
        <f t="shared" si="127"/>
        <v xml:space="preserve"> </v>
      </c>
      <c r="L66" s="162" t="str">
        <f t="shared" si="128"/>
        <v xml:space="preserve"> </v>
      </c>
      <c r="M66" s="162" t="str">
        <f t="shared" si="129"/>
        <v xml:space="preserve"> </v>
      </c>
      <c r="N66" s="162" t="str">
        <f t="shared" si="130"/>
        <v xml:space="preserve"> </v>
      </c>
      <c r="O66" s="162" t="str">
        <f t="shared" si="131"/>
        <v xml:space="preserve"> </v>
      </c>
      <c r="P66" s="162" t="str">
        <f t="shared" si="132"/>
        <v xml:space="preserve"> </v>
      </c>
      <c r="Q66" s="162" t="str">
        <f t="shared" si="133"/>
        <v xml:space="preserve"> </v>
      </c>
      <c r="R66" s="162" t="str">
        <f t="shared" si="134"/>
        <v xml:space="preserve"> </v>
      </c>
      <c r="S66" s="162" t="str">
        <f t="shared" si="135"/>
        <v xml:space="preserve"> </v>
      </c>
      <c r="T66" s="162" t="str">
        <f t="shared" si="136"/>
        <v xml:space="preserve"> </v>
      </c>
      <c r="U66" s="162" t="str">
        <f t="shared" si="137"/>
        <v xml:space="preserve"> </v>
      </c>
      <c r="V66" s="172" t="str">
        <f t="shared" si="122"/>
        <v xml:space="preserve"> </v>
      </c>
      <c r="W66" s="185"/>
      <c r="X66" s="178" t="str">
        <f t="shared" si="138"/>
        <v xml:space="preserve"> </v>
      </c>
      <c r="Y66" s="162" t="str">
        <f t="shared" si="139"/>
        <v xml:space="preserve"> </v>
      </c>
      <c r="Z66" s="162" t="str">
        <f t="shared" si="140"/>
        <v xml:space="preserve"> </v>
      </c>
      <c r="AA66" s="162" t="str">
        <f t="shared" si="141"/>
        <v xml:space="preserve"> </v>
      </c>
      <c r="AB66" s="162" t="str">
        <f t="shared" si="142"/>
        <v xml:space="preserve"> </v>
      </c>
      <c r="AC66" s="162" t="str">
        <f t="shared" si="143"/>
        <v xml:space="preserve"> </v>
      </c>
      <c r="AD66" s="162" t="str">
        <f t="shared" si="144"/>
        <v xml:space="preserve"> </v>
      </c>
      <c r="AE66" s="162" t="str">
        <f t="shared" si="145"/>
        <v xml:space="preserve"> </v>
      </c>
      <c r="AF66" s="162" t="str">
        <f t="shared" si="146"/>
        <v xml:space="preserve"> </v>
      </c>
      <c r="AG66" s="162" t="str">
        <f t="shared" si="147"/>
        <v xml:space="preserve"> </v>
      </c>
      <c r="AH66" s="162" t="str">
        <f t="shared" si="148"/>
        <v xml:space="preserve"> </v>
      </c>
      <c r="AI66" s="172" t="str">
        <f t="shared" si="123"/>
        <v xml:space="preserve"> </v>
      </c>
      <c r="AJ66" s="185"/>
      <c r="AK66" s="160">
        <v>761</v>
      </c>
      <c r="AL66" s="195" t="s">
        <v>17</v>
      </c>
      <c r="AM66" s="178" t="str">
        <f t="shared" si="149"/>
        <v xml:space="preserve"> </v>
      </c>
      <c r="AN66" s="162" t="str">
        <f t="shared" si="150"/>
        <v xml:space="preserve"> </v>
      </c>
      <c r="AO66" s="162" t="str">
        <f t="shared" si="151"/>
        <v xml:space="preserve"> </v>
      </c>
      <c r="AP66" s="162" t="str">
        <f t="shared" si="152"/>
        <v xml:space="preserve"> </v>
      </c>
      <c r="AQ66" s="162" t="str">
        <f t="shared" si="153"/>
        <v xml:space="preserve"> </v>
      </c>
      <c r="AR66" s="162" t="str">
        <f t="shared" si="154"/>
        <v xml:space="preserve"> </v>
      </c>
      <c r="AS66" s="162" t="str">
        <f t="shared" si="155"/>
        <v xml:space="preserve"> </v>
      </c>
      <c r="AT66" s="162" t="str">
        <f t="shared" si="156"/>
        <v xml:space="preserve"> </v>
      </c>
      <c r="AU66" s="162" t="str">
        <f t="shared" si="157"/>
        <v xml:space="preserve"> </v>
      </c>
      <c r="AV66" s="162" t="str">
        <f t="shared" si="158"/>
        <v xml:space="preserve"> </v>
      </c>
      <c r="AW66" s="162" t="str">
        <f t="shared" si="159"/>
        <v xml:space="preserve"> </v>
      </c>
      <c r="AX66" s="172" t="str">
        <f t="shared" si="124"/>
        <v xml:space="preserve"> </v>
      </c>
      <c r="AY66" s="185"/>
      <c r="AZ66" s="178" t="str">
        <f t="shared" si="160"/>
        <v xml:space="preserve"> </v>
      </c>
      <c r="BA66" s="162" t="str">
        <f t="shared" si="161"/>
        <v xml:space="preserve"> </v>
      </c>
      <c r="BB66" s="162" t="str">
        <f t="shared" si="162"/>
        <v xml:space="preserve"> </v>
      </c>
      <c r="BC66" s="162" t="str">
        <f t="shared" si="163"/>
        <v xml:space="preserve"> </v>
      </c>
      <c r="BD66" s="162" t="str">
        <f t="shared" si="164"/>
        <v xml:space="preserve"> </v>
      </c>
      <c r="BE66" s="162" t="str">
        <f t="shared" si="165"/>
        <v xml:space="preserve"> </v>
      </c>
      <c r="BF66" s="162" t="str">
        <f t="shared" si="166"/>
        <v xml:space="preserve"> </v>
      </c>
      <c r="BG66" s="162" t="str">
        <f t="shared" si="167"/>
        <v xml:space="preserve"> </v>
      </c>
      <c r="BH66" s="162" t="str">
        <f t="shared" si="168"/>
        <v xml:space="preserve"> </v>
      </c>
      <c r="BI66" s="162" t="str">
        <f t="shared" si="169"/>
        <v xml:space="preserve"> </v>
      </c>
      <c r="BJ66" s="162" t="str">
        <f t="shared" si="170"/>
        <v xml:space="preserve"> </v>
      </c>
      <c r="BK66" s="172" t="str">
        <f t="shared" si="125"/>
        <v xml:space="preserve"> </v>
      </c>
      <c r="BL66" s="185"/>
      <c r="BM66" s="160">
        <v>761</v>
      </c>
      <c r="BN66" s="195" t="s">
        <v>17</v>
      </c>
      <c r="BO66" s="178" t="str">
        <f t="shared" si="171"/>
        <v xml:space="preserve"> </v>
      </c>
      <c r="BP66" s="162" t="str">
        <f t="shared" si="172"/>
        <v xml:space="preserve"> </v>
      </c>
      <c r="BQ66" s="162" t="str">
        <f t="shared" si="173"/>
        <v xml:space="preserve"> </v>
      </c>
      <c r="BR66" s="162" t="str">
        <f t="shared" si="174"/>
        <v xml:space="preserve"> </v>
      </c>
      <c r="BS66" s="162" t="str">
        <f t="shared" si="175"/>
        <v xml:space="preserve"> </v>
      </c>
      <c r="BT66" s="162" t="str">
        <f t="shared" si="176"/>
        <v xml:space="preserve"> </v>
      </c>
      <c r="BU66" s="162" t="str">
        <f t="shared" si="177"/>
        <v xml:space="preserve"> </v>
      </c>
      <c r="BV66" s="162" t="str">
        <f t="shared" si="178"/>
        <v xml:space="preserve"> </v>
      </c>
      <c r="BW66" s="162" t="str">
        <f t="shared" si="179"/>
        <v xml:space="preserve"> </v>
      </c>
      <c r="BX66" s="162" t="str">
        <f t="shared" si="180"/>
        <v xml:space="preserve"> </v>
      </c>
      <c r="BY66" s="162" t="str">
        <f t="shared" si="181"/>
        <v xml:space="preserve"> </v>
      </c>
      <c r="BZ66" s="172" t="str">
        <f t="shared" si="126"/>
        <v xml:space="preserve"> </v>
      </c>
      <c r="CA66" s="189"/>
    </row>
    <row r="67" spans="1:79" ht="15.75" x14ac:dyDescent="0.25">
      <c r="A67" s="199">
        <f t="shared" si="60"/>
        <v>764</v>
      </c>
      <c r="B67" s="199" t="str">
        <f t="shared" si="61"/>
        <v>NGSA</v>
      </c>
      <c r="C67" s="56" t="str">
        <f t="shared" si="62"/>
        <v xml:space="preserve"> </v>
      </c>
      <c r="D67" s="53" t="str">
        <f t="shared" si="63"/>
        <v xml:space="preserve"> </v>
      </c>
      <c r="E67" s="39" t="str">
        <f t="shared" si="64"/>
        <v xml:space="preserve"> </v>
      </c>
      <c r="F67" s="39">
        <f t="shared" si="65"/>
        <v>3</v>
      </c>
      <c r="G67" s="210" t="str">
        <f t="shared" si="66"/>
        <v xml:space="preserve"> </v>
      </c>
      <c r="I67" s="160">
        <v>764</v>
      </c>
      <c r="J67" s="195" t="s">
        <v>17</v>
      </c>
      <c r="K67" s="162" t="str">
        <f t="shared" si="127"/>
        <v xml:space="preserve"> </v>
      </c>
      <c r="L67" s="162" t="str">
        <f t="shared" si="128"/>
        <v xml:space="preserve"> </v>
      </c>
      <c r="M67" s="162" t="str">
        <f t="shared" si="129"/>
        <v xml:space="preserve"> </v>
      </c>
      <c r="N67" s="162" t="str">
        <f t="shared" si="130"/>
        <v xml:space="preserve"> </v>
      </c>
      <c r="O67" s="162" t="str">
        <f t="shared" si="131"/>
        <v xml:space="preserve"> </v>
      </c>
      <c r="P67" s="162" t="str">
        <f t="shared" si="132"/>
        <v xml:space="preserve"> </v>
      </c>
      <c r="Q67" s="162" t="str">
        <f t="shared" si="133"/>
        <v xml:space="preserve"> </v>
      </c>
      <c r="R67" s="162" t="str">
        <f t="shared" si="134"/>
        <v xml:space="preserve"> </v>
      </c>
      <c r="S67" s="162" t="str">
        <f t="shared" si="135"/>
        <v xml:space="preserve"> </v>
      </c>
      <c r="T67" s="162" t="str">
        <f t="shared" si="136"/>
        <v xml:space="preserve"> </v>
      </c>
      <c r="U67" s="162" t="str">
        <f t="shared" si="137"/>
        <v xml:space="preserve"> </v>
      </c>
      <c r="V67" s="172" t="str">
        <f t="shared" si="122"/>
        <v xml:space="preserve"> </v>
      </c>
      <c r="W67" s="185"/>
      <c r="X67" s="178" t="str">
        <f t="shared" si="138"/>
        <v xml:space="preserve"> </v>
      </c>
      <c r="Y67" s="162" t="str">
        <f t="shared" si="139"/>
        <v xml:space="preserve"> </v>
      </c>
      <c r="Z67" s="162" t="str">
        <f t="shared" si="140"/>
        <v xml:space="preserve"> </v>
      </c>
      <c r="AA67" s="162" t="str">
        <f t="shared" si="141"/>
        <v xml:space="preserve"> </v>
      </c>
      <c r="AB67" s="162" t="str">
        <f t="shared" si="142"/>
        <v xml:space="preserve"> </v>
      </c>
      <c r="AC67" s="162" t="str">
        <f t="shared" si="143"/>
        <v xml:space="preserve"> </v>
      </c>
      <c r="AD67" s="162" t="str">
        <f t="shared" si="144"/>
        <v xml:space="preserve"> </v>
      </c>
      <c r="AE67" s="162" t="str">
        <f t="shared" si="145"/>
        <v xml:space="preserve"> </v>
      </c>
      <c r="AF67" s="162" t="str">
        <f t="shared" si="146"/>
        <v xml:space="preserve"> </v>
      </c>
      <c r="AG67" s="162" t="str">
        <f t="shared" si="147"/>
        <v xml:space="preserve"> </v>
      </c>
      <c r="AH67" s="162" t="str">
        <f t="shared" si="148"/>
        <v xml:space="preserve"> </v>
      </c>
      <c r="AI67" s="172" t="str">
        <f t="shared" si="123"/>
        <v xml:space="preserve"> </v>
      </c>
      <c r="AJ67" s="185"/>
      <c r="AK67" s="160">
        <v>764</v>
      </c>
      <c r="AL67" s="195" t="s">
        <v>17</v>
      </c>
      <c r="AM67" s="178" t="str">
        <f t="shared" si="149"/>
        <v xml:space="preserve"> </v>
      </c>
      <c r="AN67" s="162" t="str">
        <f t="shared" si="150"/>
        <v xml:space="preserve"> </v>
      </c>
      <c r="AO67" s="162" t="str">
        <f t="shared" si="151"/>
        <v xml:space="preserve"> </v>
      </c>
      <c r="AP67" s="162" t="str">
        <f t="shared" si="152"/>
        <v xml:space="preserve"> </v>
      </c>
      <c r="AQ67" s="162" t="str">
        <f t="shared" si="153"/>
        <v xml:space="preserve"> </v>
      </c>
      <c r="AR67" s="162" t="str">
        <f t="shared" si="154"/>
        <v xml:space="preserve"> </v>
      </c>
      <c r="AS67" s="162" t="str">
        <f t="shared" si="155"/>
        <v xml:space="preserve"> </v>
      </c>
      <c r="AT67" s="162" t="str">
        <f t="shared" si="156"/>
        <v xml:space="preserve"> </v>
      </c>
      <c r="AU67" s="162" t="str">
        <f t="shared" si="157"/>
        <v xml:space="preserve"> </v>
      </c>
      <c r="AV67" s="162" t="str">
        <f t="shared" si="158"/>
        <v xml:space="preserve"> </v>
      </c>
      <c r="AW67" s="162" t="str">
        <f t="shared" si="159"/>
        <v xml:space="preserve"> </v>
      </c>
      <c r="AX67" s="172" t="str">
        <f t="shared" si="124"/>
        <v xml:space="preserve"> </v>
      </c>
      <c r="AY67" s="185"/>
      <c r="AZ67" s="178" t="str">
        <f t="shared" si="160"/>
        <v xml:space="preserve"> </v>
      </c>
      <c r="BA67" s="162" t="str">
        <f t="shared" si="161"/>
        <v xml:space="preserve"> </v>
      </c>
      <c r="BB67" s="162" t="str">
        <f t="shared" si="162"/>
        <v xml:space="preserve"> </v>
      </c>
      <c r="BC67" s="162" t="str">
        <f t="shared" si="163"/>
        <v xml:space="preserve"> </v>
      </c>
      <c r="BD67" s="162" t="str">
        <f t="shared" si="164"/>
        <v xml:space="preserve"> </v>
      </c>
      <c r="BE67" s="162" t="str">
        <f t="shared" si="165"/>
        <v xml:space="preserve"> </v>
      </c>
      <c r="BF67" s="162" t="str">
        <f t="shared" si="166"/>
        <v xml:space="preserve"> </v>
      </c>
      <c r="BG67" s="162" t="str">
        <f t="shared" si="167"/>
        <v xml:space="preserve"> </v>
      </c>
      <c r="BH67" s="162" t="str">
        <f t="shared" si="168"/>
        <v xml:space="preserve"> </v>
      </c>
      <c r="BI67" s="162" t="str">
        <f t="shared" si="169"/>
        <v xml:space="preserve"> </v>
      </c>
      <c r="BJ67" s="162" t="str">
        <f t="shared" si="170"/>
        <v xml:space="preserve"> </v>
      </c>
      <c r="BK67" s="172" t="str">
        <f t="shared" si="125"/>
        <v xml:space="preserve"> </v>
      </c>
      <c r="BL67" s="185"/>
      <c r="BM67" s="160">
        <v>764</v>
      </c>
      <c r="BN67" s="195" t="s">
        <v>17</v>
      </c>
      <c r="BO67" s="178" t="str">
        <f t="shared" si="171"/>
        <v>X</v>
      </c>
      <c r="BP67" s="162" t="str">
        <f t="shared" si="172"/>
        <v xml:space="preserve"> </v>
      </c>
      <c r="BQ67" s="162" t="str">
        <f t="shared" si="173"/>
        <v xml:space="preserve"> </v>
      </c>
      <c r="BR67" s="162" t="str">
        <f t="shared" si="174"/>
        <v xml:space="preserve"> </v>
      </c>
      <c r="BS67" s="162" t="str">
        <f t="shared" si="175"/>
        <v xml:space="preserve"> </v>
      </c>
      <c r="BT67" s="162" t="str">
        <f t="shared" si="176"/>
        <v xml:space="preserve"> </v>
      </c>
      <c r="BU67" s="162" t="str">
        <f t="shared" si="177"/>
        <v>X</v>
      </c>
      <c r="BV67" s="162" t="str">
        <f t="shared" si="178"/>
        <v>X</v>
      </c>
      <c r="BW67" s="162" t="str">
        <f t="shared" si="179"/>
        <v xml:space="preserve"> </v>
      </c>
      <c r="BX67" s="162" t="str">
        <f t="shared" si="180"/>
        <v xml:space="preserve"> </v>
      </c>
      <c r="BY67" s="162" t="str">
        <f t="shared" si="181"/>
        <v xml:space="preserve"> </v>
      </c>
      <c r="BZ67" s="172">
        <f t="shared" si="126"/>
        <v>3</v>
      </c>
      <c r="CA67" s="189"/>
    </row>
    <row r="68" spans="1:79" ht="15.75" x14ac:dyDescent="0.25">
      <c r="A68" s="199">
        <f t="shared" si="60"/>
        <v>765</v>
      </c>
      <c r="B68" s="199" t="str">
        <f t="shared" si="61"/>
        <v>NGSA</v>
      </c>
      <c r="C68" s="56" t="str">
        <f t="shared" si="62"/>
        <v xml:space="preserve"> </v>
      </c>
      <c r="D68" s="53">
        <f t="shared" si="63"/>
        <v>1</v>
      </c>
      <c r="E68" s="39">
        <f t="shared" si="64"/>
        <v>1</v>
      </c>
      <c r="F68" s="39">
        <f t="shared" si="65"/>
        <v>1</v>
      </c>
      <c r="G68" s="210" t="str">
        <f t="shared" si="66"/>
        <v xml:space="preserve"> </v>
      </c>
      <c r="I68" s="160">
        <v>765</v>
      </c>
      <c r="J68" s="195" t="s">
        <v>17</v>
      </c>
      <c r="K68" s="162" t="str">
        <f t="shared" si="127"/>
        <v xml:space="preserve"> </v>
      </c>
      <c r="L68" s="162" t="str">
        <f t="shared" si="128"/>
        <v xml:space="preserve"> </v>
      </c>
      <c r="M68" s="162" t="str">
        <f t="shared" si="129"/>
        <v xml:space="preserve"> </v>
      </c>
      <c r="N68" s="162" t="str">
        <f t="shared" si="130"/>
        <v xml:space="preserve"> </v>
      </c>
      <c r="O68" s="162" t="str">
        <f t="shared" si="131"/>
        <v xml:space="preserve"> </v>
      </c>
      <c r="P68" s="162" t="str">
        <f t="shared" si="132"/>
        <v xml:space="preserve"> </v>
      </c>
      <c r="Q68" s="162" t="str">
        <f t="shared" si="133"/>
        <v xml:space="preserve"> </v>
      </c>
      <c r="R68" s="162" t="str">
        <f t="shared" si="134"/>
        <v xml:space="preserve"> </v>
      </c>
      <c r="S68" s="162" t="str">
        <f t="shared" si="135"/>
        <v xml:space="preserve"> </v>
      </c>
      <c r="T68" s="162" t="str">
        <f t="shared" si="136"/>
        <v xml:space="preserve"> </v>
      </c>
      <c r="U68" s="162" t="str">
        <f t="shared" si="137"/>
        <v xml:space="preserve"> </v>
      </c>
      <c r="V68" s="172" t="str">
        <f t="shared" si="122"/>
        <v xml:space="preserve"> </v>
      </c>
      <c r="W68" s="185"/>
      <c r="X68" s="178" t="str">
        <f t="shared" si="138"/>
        <v>X</v>
      </c>
      <c r="Y68" s="162" t="str">
        <f t="shared" si="139"/>
        <v xml:space="preserve"> </v>
      </c>
      <c r="Z68" s="162" t="str">
        <f t="shared" si="140"/>
        <v xml:space="preserve"> </v>
      </c>
      <c r="AA68" s="162" t="str">
        <f t="shared" si="141"/>
        <v xml:space="preserve"> </v>
      </c>
      <c r="AB68" s="162" t="str">
        <f t="shared" si="142"/>
        <v xml:space="preserve"> </v>
      </c>
      <c r="AC68" s="162" t="str">
        <f t="shared" si="143"/>
        <v xml:space="preserve"> </v>
      </c>
      <c r="AD68" s="162" t="str">
        <f t="shared" si="144"/>
        <v xml:space="preserve"> </v>
      </c>
      <c r="AE68" s="162" t="str">
        <f t="shared" si="145"/>
        <v xml:space="preserve"> </v>
      </c>
      <c r="AF68" s="162" t="str">
        <f t="shared" si="146"/>
        <v xml:space="preserve"> </v>
      </c>
      <c r="AG68" s="162" t="str">
        <f t="shared" si="147"/>
        <v xml:space="preserve"> </v>
      </c>
      <c r="AH68" s="162" t="str">
        <f t="shared" si="148"/>
        <v xml:space="preserve"> </v>
      </c>
      <c r="AI68" s="172">
        <f t="shared" si="123"/>
        <v>1</v>
      </c>
      <c r="AJ68" s="185"/>
      <c r="AK68" s="160">
        <v>765</v>
      </c>
      <c r="AL68" s="195" t="s">
        <v>17</v>
      </c>
      <c r="AM68" s="178" t="str">
        <f t="shared" si="149"/>
        <v xml:space="preserve"> </v>
      </c>
      <c r="AN68" s="162" t="str">
        <f t="shared" si="150"/>
        <v xml:space="preserve"> </v>
      </c>
      <c r="AO68" s="162" t="str">
        <f t="shared" si="151"/>
        <v xml:space="preserve"> </v>
      </c>
      <c r="AP68" s="162" t="str">
        <f t="shared" si="152"/>
        <v xml:space="preserve"> </v>
      </c>
      <c r="AQ68" s="162" t="str">
        <f t="shared" si="153"/>
        <v xml:space="preserve"> </v>
      </c>
      <c r="AR68" s="162" t="str">
        <f t="shared" si="154"/>
        <v xml:space="preserve"> </v>
      </c>
      <c r="AS68" s="162" t="str">
        <f t="shared" si="155"/>
        <v xml:space="preserve"> </v>
      </c>
      <c r="AT68" s="162" t="str">
        <f t="shared" si="156"/>
        <v xml:space="preserve"> </v>
      </c>
      <c r="AU68" s="162" t="str">
        <f t="shared" si="157"/>
        <v xml:space="preserve"> </v>
      </c>
      <c r="AV68" s="162" t="str">
        <f t="shared" si="158"/>
        <v xml:space="preserve"> </v>
      </c>
      <c r="AW68" s="162" t="str">
        <f t="shared" si="159"/>
        <v xml:space="preserve"> </v>
      </c>
      <c r="AX68" s="172" t="str">
        <f t="shared" si="124"/>
        <v xml:space="preserve"> </v>
      </c>
      <c r="AY68" s="185"/>
      <c r="AZ68" s="178" t="str">
        <f t="shared" si="160"/>
        <v>X</v>
      </c>
      <c r="BA68" s="162" t="str">
        <f t="shared" si="161"/>
        <v xml:space="preserve"> </v>
      </c>
      <c r="BB68" s="162" t="str">
        <f t="shared" si="162"/>
        <v xml:space="preserve"> </v>
      </c>
      <c r="BC68" s="162" t="str">
        <f t="shared" si="163"/>
        <v xml:space="preserve"> </v>
      </c>
      <c r="BD68" s="162" t="str">
        <f t="shared" si="164"/>
        <v xml:space="preserve"> </v>
      </c>
      <c r="BE68" s="162" t="str">
        <f t="shared" si="165"/>
        <v xml:space="preserve"> </v>
      </c>
      <c r="BF68" s="162" t="str">
        <f t="shared" si="166"/>
        <v xml:space="preserve"> </v>
      </c>
      <c r="BG68" s="162" t="str">
        <f t="shared" si="167"/>
        <v xml:space="preserve"> </v>
      </c>
      <c r="BH68" s="162" t="str">
        <f t="shared" si="168"/>
        <v xml:space="preserve"> </v>
      </c>
      <c r="BI68" s="162" t="str">
        <f t="shared" si="169"/>
        <v xml:space="preserve"> </v>
      </c>
      <c r="BJ68" s="162" t="str">
        <f t="shared" si="170"/>
        <v xml:space="preserve"> </v>
      </c>
      <c r="BK68" s="172">
        <f t="shared" si="125"/>
        <v>1</v>
      </c>
      <c r="BL68" s="185"/>
      <c r="BM68" s="160">
        <v>765</v>
      </c>
      <c r="BN68" s="195" t="s">
        <v>17</v>
      </c>
      <c r="BO68" s="178" t="str">
        <f t="shared" si="171"/>
        <v>X</v>
      </c>
      <c r="BP68" s="162" t="str">
        <f t="shared" si="172"/>
        <v xml:space="preserve"> </v>
      </c>
      <c r="BQ68" s="162" t="str">
        <f t="shared" si="173"/>
        <v xml:space="preserve"> </v>
      </c>
      <c r="BR68" s="162" t="str">
        <f t="shared" si="174"/>
        <v xml:space="preserve"> </v>
      </c>
      <c r="BS68" s="162" t="str">
        <f t="shared" si="175"/>
        <v xml:space="preserve"> </v>
      </c>
      <c r="BT68" s="162" t="str">
        <f t="shared" si="176"/>
        <v xml:space="preserve"> </v>
      </c>
      <c r="BU68" s="162" t="str">
        <f t="shared" si="177"/>
        <v xml:space="preserve"> </v>
      </c>
      <c r="BV68" s="162" t="str">
        <f t="shared" si="178"/>
        <v xml:space="preserve"> </v>
      </c>
      <c r="BW68" s="162" t="str">
        <f t="shared" si="179"/>
        <v xml:space="preserve"> </v>
      </c>
      <c r="BX68" s="162" t="str">
        <f t="shared" si="180"/>
        <v xml:space="preserve"> </v>
      </c>
      <c r="BY68" s="162" t="str">
        <f t="shared" si="181"/>
        <v xml:space="preserve"> </v>
      </c>
      <c r="BZ68" s="172">
        <f t="shared" si="126"/>
        <v>1</v>
      </c>
      <c r="CA68" s="189"/>
    </row>
    <row r="69" spans="1:79" ht="15.75" x14ac:dyDescent="0.25">
      <c r="A69" s="199">
        <f t="shared" si="60"/>
        <v>779</v>
      </c>
      <c r="B69" s="199" t="str">
        <f t="shared" si="61"/>
        <v>NGSA</v>
      </c>
      <c r="C69" s="56" t="str">
        <f t="shared" si="62"/>
        <v xml:space="preserve"> </v>
      </c>
      <c r="D69" s="53" t="str">
        <f t="shared" si="63"/>
        <v xml:space="preserve"> </v>
      </c>
      <c r="E69" s="39" t="str">
        <f t="shared" si="64"/>
        <v xml:space="preserve"> </v>
      </c>
      <c r="F69" s="39">
        <f t="shared" si="65"/>
        <v>2</v>
      </c>
      <c r="G69" s="210" t="str">
        <f t="shared" si="66"/>
        <v xml:space="preserve"> </v>
      </c>
      <c r="I69" s="160">
        <v>779</v>
      </c>
      <c r="J69" s="195" t="s">
        <v>17</v>
      </c>
      <c r="K69" s="162" t="str">
        <f t="shared" ref="K69:K77" si="182">VLOOKUP($I69,ngsa0407,17,FALSE)</f>
        <v xml:space="preserve"> </v>
      </c>
      <c r="L69" s="162" t="str">
        <f t="shared" ref="L69:L77" si="183">VLOOKUP($I69,ngsa0412,17,FALSE)</f>
        <v xml:space="preserve"> </v>
      </c>
      <c r="M69" s="162" t="str">
        <f t="shared" ref="M69:M77" si="184">VLOOKUP($I69,ngsa0415,17,FALSE)</f>
        <v xml:space="preserve"> </v>
      </c>
      <c r="N69" s="162" t="str">
        <f t="shared" ref="N69:N77" si="185">VLOOKUP($I69,ngsa0416,17,FALSE)</f>
        <v xml:space="preserve"> </v>
      </c>
      <c r="O69" s="162" t="str">
        <f t="shared" ref="O69:O77" si="186">VLOOKUP($I69,ngsa0426,17,FALSE)</f>
        <v xml:space="preserve"> </v>
      </c>
      <c r="P69" s="162" t="str">
        <f t="shared" ref="P69:P77" si="187">VLOOKUP($I69,ngsa0521,17,FALSE)</f>
        <v xml:space="preserve"> </v>
      </c>
      <c r="Q69" s="162" t="str">
        <f t="shared" ref="Q69:Q77" si="188">VLOOKUP($I69,ngsa0527,17,FALSE)</f>
        <v xml:space="preserve"> </v>
      </c>
      <c r="R69" s="162" t="str">
        <f t="shared" ref="R69:R77" si="189">VLOOKUP($I69,ngsa0528,17,FALSE)</f>
        <v xml:space="preserve"> </v>
      </c>
      <c r="S69" s="162" t="str">
        <f t="shared" ref="S69:S77" si="190">VLOOKUP($I69,ngsa0603,17,FALSE)</f>
        <v xml:space="preserve"> </v>
      </c>
      <c r="T69" s="162" t="str">
        <f t="shared" ref="T69:T77" si="191">VLOOKUP($I69,ngsa0604,17,FALSE)</f>
        <v xml:space="preserve"> </v>
      </c>
      <c r="U69" s="162" t="str">
        <f t="shared" ref="U69:U77" si="192">VLOOKUP($I69,ngsa0612,17,FALSE)</f>
        <v xml:space="preserve"> </v>
      </c>
      <c r="V69" s="172" t="str">
        <f t="shared" ref="V69:V77" si="193">IF(COUNTIF(K69:U69,"x")=0," ",COUNTIF(K69:U69,"x"))</f>
        <v xml:space="preserve"> </v>
      </c>
      <c r="W69" s="185"/>
      <c r="X69" s="178" t="str">
        <f t="shared" ref="X69:X77" si="194">VLOOKUP($I69,ngsa0407,18,FALSE)</f>
        <v xml:space="preserve"> </v>
      </c>
      <c r="Y69" s="162" t="str">
        <f t="shared" ref="Y69:Y77" si="195">VLOOKUP($I69,ngsa0412,18,FALSE)</f>
        <v xml:space="preserve"> </v>
      </c>
      <c r="Z69" s="162" t="str">
        <f t="shared" ref="Z69:Z77" si="196">VLOOKUP($I69,ngsa0415,18,FALSE)</f>
        <v xml:space="preserve"> </v>
      </c>
      <c r="AA69" s="162" t="str">
        <f t="shared" ref="AA69:AA77" si="197">VLOOKUP($I69,ngsa0416,18,FALSE)</f>
        <v xml:space="preserve"> </v>
      </c>
      <c r="AB69" s="162" t="str">
        <f t="shared" ref="AB69:AB77" si="198">VLOOKUP($I69,ngsa0426,18,FALSE)</f>
        <v xml:space="preserve"> </v>
      </c>
      <c r="AC69" s="162" t="str">
        <f t="shared" ref="AC69:AC77" si="199">VLOOKUP($I69,ngsa0521,18,FALSE)</f>
        <v xml:space="preserve"> </v>
      </c>
      <c r="AD69" s="162" t="str">
        <f t="shared" ref="AD69:AD77" si="200">VLOOKUP($I69,ngsa0527,18,FALSE)</f>
        <v xml:space="preserve"> </v>
      </c>
      <c r="AE69" s="162" t="str">
        <f t="shared" ref="AE69:AE77" si="201">VLOOKUP($I69,ngsa0528,18,FALSE)</f>
        <v xml:space="preserve"> </v>
      </c>
      <c r="AF69" s="162" t="str">
        <f t="shared" ref="AF69:AF77" si="202">VLOOKUP($I69,ngsa0603,18,FALSE)</f>
        <v xml:space="preserve"> </v>
      </c>
      <c r="AG69" s="162" t="str">
        <f t="shared" ref="AG69:AG77" si="203">VLOOKUP($I69,ngsa0604,18,FALSE)</f>
        <v xml:space="preserve"> </v>
      </c>
      <c r="AH69" s="162" t="str">
        <f t="shared" ref="AH69:AH77" si="204">VLOOKUP($I69,ngsa0612,18,FALSE)</f>
        <v xml:space="preserve"> </v>
      </c>
      <c r="AI69" s="172" t="str">
        <f t="shared" ref="AI69:AI77" si="205">IF(COUNTIF(X69:AH69,"x")=0," ",COUNTIF(X69:AH69,"x"))</f>
        <v xml:space="preserve"> </v>
      </c>
      <c r="AJ69" s="185"/>
      <c r="AK69" s="160">
        <v>779</v>
      </c>
      <c r="AL69" s="195" t="s">
        <v>17</v>
      </c>
      <c r="AM69" s="178" t="str">
        <f t="shared" ref="AM69:AM77" si="206">VLOOKUP($I69,ngsa0407,19,FALSE)</f>
        <v xml:space="preserve"> </v>
      </c>
      <c r="AN69" s="162" t="str">
        <f t="shared" ref="AN69:AN77" si="207">VLOOKUP($I69,ngsa0412,19,FALSE)</f>
        <v xml:space="preserve"> </v>
      </c>
      <c r="AO69" s="162" t="str">
        <f t="shared" ref="AO69:AO77" si="208">VLOOKUP($I69,ngsa0415,19,FALSE)</f>
        <v xml:space="preserve"> </v>
      </c>
      <c r="AP69" s="162" t="str">
        <f t="shared" ref="AP69:AP77" si="209">VLOOKUP($I69,ngsa0416,19,FALSE)</f>
        <v xml:space="preserve"> </v>
      </c>
      <c r="AQ69" s="162" t="str">
        <f t="shared" ref="AQ69:AQ77" si="210">VLOOKUP($I69,ngsa0426,19,FALSE)</f>
        <v xml:space="preserve"> </v>
      </c>
      <c r="AR69" s="162" t="str">
        <f t="shared" ref="AR69:AR77" si="211">VLOOKUP($I69,ngsa0521,19,FALSE)</f>
        <v xml:space="preserve"> </v>
      </c>
      <c r="AS69" s="162" t="str">
        <f t="shared" ref="AS69:AS77" si="212">VLOOKUP($I69,ngsa0527,19,FALSE)</f>
        <v xml:space="preserve"> </v>
      </c>
      <c r="AT69" s="162" t="str">
        <f t="shared" ref="AT69:AT77" si="213">VLOOKUP($I69,ngsa0528,19,FALSE)</f>
        <v xml:space="preserve"> </v>
      </c>
      <c r="AU69" s="162" t="str">
        <f t="shared" ref="AU69:AU77" si="214">VLOOKUP($I69,ngsa0603,19,FALSE)</f>
        <v xml:space="preserve"> </v>
      </c>
      <c r="AV69" s="162" t="str">
        <f t="shared" ref="AV69:AV77" si="215">VLOOKUP($I69,ngsa0604,19,FALSE)</f>
        <v xml:space="preserve"> </v>
      </c>
      <c r="AW69" s="162" t="str">
        <f t="shared" ref="AW69:AW77" si="216">VLOOKUP($I69,ngsa0612,19,FALSE)</f>
        <v xml:space="preserve"> </v>
      </c>
      <c r="AX69" s="172" t="str">
        <f t="shared" ref="AX69:AX77" si="217">IF(COUNTIF(AM69:AW69,"x")=0," ",COUNTIF(AM69:AW69,"x"))</f>
        <v xml:space="preserve"> </v>
      </c>
      <c r="AY69" s="185"/>
      <c r="AZ69" s="178" t="str">
        <f t="shared" ref="AZ69:AZ77" si="218">VLOOKUP($I69,ngsa0407,20,FALSE)</f>
        <v xml:space="preserve"> </v>
      </c>
      <c r="BA69" s="162" t="str">
        <f t="shared" ref="BA69:BA77" si="219">VLOOKUP($I69,ngsa0412,20,FALSE)</f>
        <v xml:space="preserve"> </v>
      </c>
      <c r="BB69" s="162" t="str">
        <f t="shared" ref="BB69:BB77" si="220">VLOOKUP($I69,ngsa0415,20,FALSE)</f>
        <v xml:space="preserve"> </v>
      </c>
      <c r="BC69" s="162" t="str">
        <f t="shared" ref="BC69:BC77" si="221">VLOOKUP($I69,ngsa0416,20,FALSE)</f>
        <v xml:space="preserve"> </v>
      </c>
      <c r="BD69" s="162" t="str">
        <f t="shared" ref="BD69:BD77" si="222">VLOOKUP($I69,ngsa0426,20,FALSE)</f>
        <v xml:space="preserve"> </v>
      </c>
      <c r="BE69" s="162" t="str">
        <f t="shared" ref="BE69:BE77" si="223">VLOOKUP($I69,ngsa0521,20,FALSE)</f>
        <v xml:space="preserve"> </v>
      </c>
      <c r="BF69" s="162" t="str">
        <f t="shared" ref="BF69:BF77" si="224">VLOOKUP($I69,ngsa0527,20,FALSE)</f>
        <v xml:space="preserve"> </v>
      </c>
      <c r="BG69" s="162" t="str">
        <f t="shared" ref="BG69:BG77" si="225">VLOOKUP($I69,ngsa0528,20,FALSE)</f>
        <v xml:space="preserve"> </v>
      </c>
      <c r="BH69" s="162" t="str">
        <f t="shared" ref="BH69:BH77" si="226">VLOOKUP($I69,ngsa0603,20,FALSE)</f>
        <v xml:space="preserve"> </v>
      </c>
      <c r="BI69" s="162" t="str">
        <f t="shared" ref="BI69:BI77" si="227">VLOOKUP($I69,ngsa0604,20,FALSE)</f>
        <v xml:space="preserve"> </v>
      </c>
      <c r="BJ69" s="162" t="str">
        <f t="shared" ref="BJ69:BJ77" si="228">VLOOKUP($I69,ngsa0612,20,FALSE)</f>
        <v xml:space="preserve"> </v>
      </c>
      <c r="BK69" s="172" t="str">
        <f t="shared" ref="BK69:BK77" si="229">IF(COUNTIF(AZ69:BJ69,"x")=0," ",COUNTIF(AZ69:BJ69,"x"))</f>
        <v xml:space="preserve"> </v>
      </c>
      <c r="BL69" s="185"/>
      <c r="BM69" s="160">
        <v>779</v>
      </c>
      <c r="BN69" s="195" t="s">
        <v>17</v>
      </c>
      <c r="BO69" s="178" t="str">
        <f t="shared" ref="BO69:BO77" si="230">VLOOKUP($I69,ngsa0407,21,FALSE)</f>
        <v xml:space="preserve"> </v>
      </c>
      <c r="BP69" s="162" t="str">
        <f t="shared" ref="BP69:BP77" si="231">VLOOKUP($I69,ngsa0412,21,FALSE)</f>
        <v>X</v>
      </c>
      <c r="BQ69" s="162" t="str">
        <f t="shared" ref="BQ69:BQ77" si="232">VLOOKUP($I69,ngsa0415,21,FALSE)</f>
        <v xml:space="preserve"> </v>
      </c>
      <c r="BR69" s="162" t="str">
        <f t="shared" ref="BR69:BR77" si="233">VLOOKUP($I69,ngsa0416,21,FALSE)</f>
        <v xml:space="preserve"> </v>
      </c>
      <c r="BS69" s="162" t="str">
        <f t="shared" ref="BS69:BS77" si="234">VLOOKUP($I69,ngsa0426,21,FALSE)</f>
        <v>X</v>
      </c>
      <c r="BT69" s="162" t="str">
        <f t="shared" ref="BT69:BT77" si="235">VLOOKUP($I69,ngsa0521,21,FALSE)</f>
        <v xml:space="preserve"> </v>
      </c>
      <c r="BU69" s="162" t="str">
        <f t="shared" ref="BU69:BU77" si="236">VLOOKUP($I69,ngsa0527,21,FALSE)</f>
        <v xml:space="preserve"> </v>
      </c>
      <c r="BV69" s="162" t="str">
        <f t="shared" ref="BV69:BV77" si="237">VLOOKUP($I69,ngsa0528,21,FALSE)</f>
        <v xml:space="preserve"> </v>
      </c>
      <c r="BW69" s="162" t="str">
        <f t="shared" ref="BW69:BW77" si="238">VLOOKUP($I69,ngsa0603,21,FALSE)</f>
        <v xml:space="preserve"> </v>
      </c>
      <c r="BX69" s="162" t="str">
        <f t="shared" ref="BX69:BX77" si="239">VLOOKUP($I69,ngsa0604,21,FALSE)</f>
        <v xml:space="preserve"> </v>
      </c>
      <c r="BY69" s="162" t="str">
        <f t="shared" ref="BY69:BY77" si="240">VLOOKUP($I69,ngsa0612,21,FALSE)</f>
        <v xml:space="preserve"> </v>
      </c>
      <c r="BZ69" s="172">
        <f t="shared" ref="BZ69:BZ77" si="241">IF(COUNTIF(BO69:BY69,"x")=0," ",COUNTIF(BO69:BY69,"x"))</f>
        <v>2</v>
      </c>
      <c r="CA69" s="189"/>
    </row>
    <row r="70" spans="1:79" ht="15.75" hidden="1" x14ac:dyDescent="0.25">
      <c r="A70" s="199">
        <f t="shared" si="60"/>
        <v>809</v>
      </c>
      <c r="B70" s="199" t="str">
        <f t="shared" si="61"/>
        <v>NGSA</v>
      </c>
      <c r="C70" s="56" t="str">
        <f t="shared" si="62"/>
        <v xml:space="preserve"> </v>
      </c>
      <c r="D70" s="53" t="str">
        <f t="shared" si="63"/>
        <v xml:space="preserve"> </v>
      </c>
      <c r="E70" s="39" t="str">
        <f t="shared" si="64"/>
        <v xml:space="preserve"> </v>
      </c>
      <c r="F70" s="39" t="str">
        <f t="shared" si="65"/>
        <v xml:space="preserve"> </v>
      </c>
      <c r="G70" s="210" t="str">
        <f t="shared" si="66"/>
        <v xml:space="preserve"> </v>
      </c>
      <c r="I70" s="160">
        <v>809</v>
      </c>
      <c r="J70" s="195" t="s">
        <v>17</v>
      </c>
      <c r="K70" s="162" t="e">
        <f t="shared" si="182"/>
        <v>#N/A</v>
      </c>
      <c r="L70" s="162" t="e">
        <f t="shared" si="183"/>
        <v>#N/A</v>
      </c>
      <c r="M70" s="162" t="e">
        <f t="shared" si="184"/>
        <v>#N/A</v>
      </c>
      <c r="N70" s="162" t="e">
        <f t="shared" si="185"/>
        <v>#N/A</v>
      </c>
      <c r="O70" s="162" t="e">
        <f t="shared" si="186"/>
        <v>#N/A</v>
      </c>
      <c r="P70" s="162" t="e">
        <f t="shared" si="187"/>
        <v>#N/A</v>
      </c>
      <c r="Q70" s="162" t="e">
        <f t="shared" si="188"/>
        <v>#N/A</v>
      </c>
      <c r="R70" s="162" t="e">
        <f t="shared" si="189"/>
        <v>#N/A</v>
      </c>
      <c r="S70" s="162" t="str">
        <f t="shared" si="190"/>
        <v xml:space="preserve"> </v>
      </c>
      <c r="T70" s="162" t="str">
        <f t="shared" si="191"/>
        <v xml:space="preserve"> </v>
      </c>
      <c r="U70" s="162" t="str">
        <f t="shared" si="192"/>
        <v xml:space="preserve"> </v>
      </c>
      <c r="V70" s="172" t="str">
        <f t="shared" si="193"/>
        <v xml:space="preserve"> </v>
      </c>
      <c r="W70" s="185"/>
      <c r="X70" s="178" t="e">
        <f t="shared" si="194"/>
        <v>#N/A</v>
      </c>
      <c r="Y70" s="162" t="e">
        <f t="shared" si="195"/>
        <v>#N/A</v>
      </c>
      <c r="Z70" s="162" t="e">
        <f t="shared" si="196"/>
        <v>#N/A</v>
      </c>
      <c r="AA70" s="162" t="e">
        <f t="shared" si="197"/>
        <v>#N/A</v>
      </c>
      <c r="AB70" s="162" t="e">
        <f t="shared" si="198"/>
        <v>#N/A</v>
      </c>
      <c r="AC70" s="162" t="e">
        <f t="shared" si="199"/>
        <v>#N/A</v>
      </c>
      <c r="AD70" s="162" t="e">
        <f t="shared" si="200"/>
        <v>#N/A</v>
      </c>
      <c r="AE70" s="162" t="e">
        <f t="shared" si="201"/>
        <v>#N/A</v>
      </c>
      <c r="AF70" s="162" t="str">
        <f t="shared" si="202"/>
        <v xml:space="preserve"> </v>
      </c>
      <c r="AG70" s="162" t="str">
        <f t="shared" si="203"/>
        <v xml:space="preserve"> </v>
      </c>
      <c r="AH70" s="162" t="str">
        <f t="shared" si="204"/>
        <v xml:space="preserve"> </v>
      </c>
      <c r="AI70" s="172" t="str">
        <f t="shared" si="205"/>
        <v xml:space="preserve"> </v>
      </c>
      <c r="AJ70" s="185"/>
      <c r="AK70" s="160">
        <v>809</v>
      </c>
      <c r="AL70" s="195" t="s">
        <v>17</v>
      </c>
      <c r="AM70" s="178" t="e">
        <f t="shared" si="206"/>
        <v>#N/A</v>
      </c>
      <c r="AN70" s="162" t="e">
        <f t="shared" si="207"/>
        <v>#N/A</v>
      </c>
      <c r="AO70" s="162" t="e">
        <f t="shared" si="208"/>
        <v>#N/A</v>
      </c>
      <c r="AP70" s="162" t="e">
        <f t="shared" si="209"/>
        <v>#N/A</v>
      </c>
      <c r="AQ70" s="162" t="e">
        <f t="shared" si="210"/>
        <v>#N/A</v>
      </c>
      <c r="AR70" s="162" t="e">
        <f t="shared" si="211"/>
        <v>#N/A</v>
      </c>
      <c r="AS70" s="162" t="e">
        <f t="shared" si="212"/>
        <v>#N/A</v>
      </c>
      <c r="AT70" s="162" t="e">
        <f t="shared" si="213"/>
        <v>#N/A</v>
      </c>
      <c r="AU70" s="162" t="str">
        <f t="shared" si="214"/>
        <v xml:space="preserve"> </v>
      </c>
      <c r="AV70" s="162" t="str">
        <f t="shared" si="215"/>
        <v xml:space="preserve"> </v>
      </c>
      <c r="AW70" s="162" t="str">
        <f t="shared" si="216"/>
        <v xml:space="preserve"> </v>
      </c>
      <c r="AX70" s="172" t="str">
        <f t="shared" si="217"/>
        <v xml:space="preserve"> </v>
      </c>
      <c r="AY70" s="185"/>
      <c r="AZ70" s="178" t="e">
        <f t="shared" si="218"/>
        <v>#N/A</v>
      </c>
      <c r="BA70" s="162" t="e">
        <f t="shared" si="219"/>
        <v>#N/A</v>
      </c>
      <c r="BB70" s="162" t="e">
        <f t="shared" si="220"/>
        <v>#N/A</v>
      </c>
      <c r="BC70" s="162" t="e">
        <f t="shared" si="221"/>
        <v>#N/A</v>
      </c>
      <c r="BD70" s="162" t="e">
        <f t="shared" si="222"/>
        <v>#N/A</v>
      </c>
      <c r="BE70" s="162" t="e">
        <f t="shared" si="223"/>
        <v>#N/A</v>
      </c>
      <c r="BF70" s="162" t="e">
        <f t="shared" si="224"/>
        <v>#N/A</v>
      </c>
      <c r="BG70" s="162" t="e">
        <f t="shared" si="225"/>
        <v>#N/A</v>
      </c>
      <c r="BH70" s="162" t="str">
        <f t="shared" si="226"/>
        <v xml:space="preserve"> </v>
      </c>
      <c r="BI70" s="162" t="str">
        <f t="shared" si="227"/>
        <v xml:space="preserve"> </v>
      </c>
      <c r="BJ70" s="162" t="str">
        <f t="shared" si="228"/>
        <v xml:space="preserve"> </v>
      </c>
      <c r="BK70" s="172" t="str">
        <f t="shared" si="229"/>
        <v xml:space="preserve"> </v>
      </c>
      <c r="BL70" s="185"/>
      <c r="BM70" s="160">
        <v>809</v>
      </c>
      <c r="BN70" s="195" t="s">
        <v>17</v>
      </c>
      <c r="BO70" s="178" t="e">
        <f t="shared" si="230"/>
        <v>#N/A</v>
      </c>
      <c r="BP70" s="162" t="e">
        <f t="shared" si="231"/>
        <v>#N/A</v>
      </c>
      <c r="BQ70" s="162" t="e">
        <f t="shared" si="232"/>
        <v>#N/A</v>
      </c>
      <c r="BR70" s="162" t="e">
        <f t="shared" si="233"/>
        <v>#N/A</v>
      </c>
      <c r="BS70" s="162" t="e">
        <f t="shared" si="234"/>
        <v>#N/A</v>
      </c>
      <c r="BT70" s="162" t="e">
        <f t="shared" si="235"/>
        <v>#N/A</v>
      </c>
      <c r="BU70" s="162" t="e">
        <f t="shared" si="236"/>
        <v>#N/A</v>
      </c>
      <c r="BV70" s="162" t="e">
        <f t="shared" si="237"/>
        <v>#N/A</v>
      </c>
      <c r="BW70" s="162" t="str">
        <f t="shared" si="238"/>
        <v xml:space="preserve"> </v>
      </c>
      <c r="BX70" s="162" t="str">
        <f t="shared" si="239"/>
        <v xml:space="preserve"> </v>
      </c>
      <c r="BY70" s="162" t="str">
        <f t="shared" si="240"/>
        <v xml:space="preserve"> </v>
      </c>
      <c r="BZ70" s="172" t="str">
        <f t="shared" si="241"/>
        <v xml:space="preserve"> </v>
      </c>
      <c r="CA70" s="189"/>
    </row>
    <row r="71" spans="1:79" ht="15.75" hidden="1" x14ac:dyDescent="0.25">
      <c r="A71" s="199">
        <f t="shared" si="60"/>
        <v>810</v>
      </c>
      <c r="B71" s="199" t="str">
        <f t="shared" si="61"/>
        <v>NGSA</v>
      </c>
      <c r="C71" s="56" t="str">
        <f t="shared" si="62"/>
        <v xml:space="preserve"> </v>
      </c>
      <c r="D71" s="53" t="str">
        <f t="shared" si="63"/>
        <v xml:space="preserve"> </v>
      </c>
      <c r="E71" s="39" t="str">
        <f t="shared" si="64"/>
        <v xml:space="preserve"> </v>
      </c>
      <c r="F71" s="39" t="str">
        <f t="shared" si="65"/>
        <v xml:space="preserve"> </v>
      </c>
      <c r="G71" s="210" t="str">
        <f t="shared" si="66"/>
        <v xml:space="preserve"> </v>
      </c>
      <c r="I71" s="160">
        <v>810</v>
      </c>
      <c r="J71" s="195" t="s">
        <v>17</v>
      </c>
      <c r="K71" s="162" t="e">
        <f t="shared" si="182"/>
        <v>#N/A</v>
      </c>
      <c r="L71" s="162" t="e">
        <f t="shared" si="183"/>
        <v>#N/A</v>
      </c>
      <c r="M71" s="162" t="e">
        <f t="shared" si="184"/>
        <v>#N/A</v>
      </c>
      <c r="N71" s="162" t="e">
        <f t="shared" si="185"/>
        <v>#N/A</v>
      </c>
      <c r="O71" s="162" t="e">
        <f t="shared" si="186"/>
        <v>#N/A</v>
      </c>
      <c r="P71" s="162" t="e">
        <f t="shared" si="187"/>
        <v>#N/A</v>
      </c>
      <c r="Q71" s="162" t="e">
        <f t="shared" si="188"/>
        <v>#N/A</v>
      </c>
      <c r="R71" s="162" t="e">
        <f t="shared" si="189"/>
        <v>#N/A</v>
      </c>
      <c r="S71" s="162" t="str">
        <f t="shared" si="190"/>
        <v xml:space="preserve"> </v>
      </c>
      <c r="T71" s="162" t="str">
        <f t="shared" si="191"/>
        <v xml:space="preserve"> </v>
      </c>
      <c r="U71" s="162" t="str">
        <f t="shared" si="192"/>
        <v xml:space="preserve"> </v>
      </c>
      <c r="V71" s="172" t="str">
        <f t="shared" si="193"/>
        <v xml:space="preserve"> </v>
      </c>
      <c r="W71" s="185"/>
      <c r="X71" s="178" t="e">
        <f t="shared" si="194"/>
        <v>#N/A</v>
      </c>
      <c r="Y71" s="162" t="e">
        <f t="shared" si="195"/>
        <v>#N/A</v>
      </c>
      <c r="Z71" s="162" t="e">
        <f t="shared" si="196"/>
        <v>#N/A</v>
      </c>
      <c r="AA71" s="162" t="e">
        <f t="shared" si="197"/>
        <v>#N/A</v>
      </c>
      <c r="AB71" s="162" t="e">
        <f t="shared" si="198"/>
        <v>#N/A</v>
      </c>
      <c r="AC71" s="162" t="e">
        <f t="shared" si="199"/>
        <v>#N/A</v>
      </c>
      <c r="AD71" s="162" t="e">
        <f t="shared" si="200"/>
        <v>#N/A</v>
      </c>
      <c r="AE71" s="162" t="e">
        <f t="shared" si="201"/>
        <v>#N/A</v>
      </c>
      <c r="AF71" s="162" t="str">
        <f t="shared" si="202"/>
        <v xml:space="preserve"> </v>
      </c>
      <c r="AG71" s="162" t="str">
        <f t="shared" si="203"/>
        <v xml:space="preserve"> </v>
      </c>
      <c r="AH71" s="162" t="str">
        <f t="shared" si="204"/>
        <v xml:space="preserve"> </v>
      </c>
      <c r="AI71" s="172" t="str">
        <f t="shared" si="205"/>
        <v xml:space="preserve"> </v>
      </c>
      <c r="AJ71" s="185"/>
      <c r="AK71" s="160">
        <v>810</v>
      </c>
      <c r="AL71" s="195" t="s">
        <v>17</v>
      </c>
      <c r="AM71" s="178" t="e">
        <f t="shared" si="206"/>
        <v>#N/A</v>
      </c>
      <c r="AN71" s="162" t="e">
        <f t="shared" si="207"/>
        <v>#N/A</v>
      </c>
      <c r="AO71" s="162" t="e">
        <f t="shared" si="208"/>
        <v>#N/A</v>
      </c>
      <c r="AP71" s="162" t="e">
        <f t="shared" si="209"/>
        <v>#N/A</v>
      </c>
      <c r="AQ71" s="162" t="e">
        <f t="shared" si="210"/>
        <v>#N/A</v>
      </c>
      <c r="AR71" s="162" t="e">
        <f t="shared" si="211"/>
        <v>#N/A</v>
      </c>
      <c r="AS71" s="162" t="e">
        <f t="shared" si="212"/>
        <v>#N/A</v>
      </c>
      <c r="AT71" s="162" t="e">
        <f t="shared" si="213"/>
        <v>#N/A</v>
      </c>
      <c r="AU71" s="162" t="str">
        <f t="shared" si="214"/>
        <v xml:space="preserve"> </v>
      </c>
      <c r="AV71" s="162" t="str">
        <f t="shared" si="215"/>
        <v xml:space="preserve"> </v>
      </c>
      <c r="AW71" s="162" t="str">
        <f t="shared" si="216"/>
        <v xml:space="preserve"> </v>
      </c>
      <c r="AX71" s="172" t="str">
        <f t="shared" si="217"/>
        <v xml:space="preserve"> </v>
      </c>
      <c r="AY71" s="185"/>
      <c r="AZ71" s="178" t="e">
        <f t="shared" si="218"/>
        <v>#N/A</v>
      </c>
      <c r="BA71" s="162" t="e">
        <f t="shared" si="219"/>
        <v>#N/A</v>
      </c>
      <c r="BB71" s="162" t="e">
        <f t="shared" si="220"/>
        <v>#N/A</v>
      </c>
      <c r="BC71" s="162" t="e">
        <f t="shared" si="221"/>
        <v>#N/A</v>
      </c>
      <c r="BD71" s="162" t="e">
        <f t="shared" si="222"/>
        <v>#N/A</v>
      </c>
      <c r="BE71" s="162" t="e">
        <f t="shared" si="223"/>
        <v>#N/A</v>
      </c>
      <c r="BF71" s="162" t="e">
        <f t="shared" si="224"/>
        <v>#N/A</v>
      </c>
      <c r="BG71" s="162" t="e">
        <f t="shared" si="225"/>
        <v>#N/A</v>
      </c>
      <c r="BH71" s="162" t="str">
        <f t="shared" si="226"/>
        <v xml:space="preserve"> </v>
      </c>
      <c r="BI71" s="162" t="str">
        <f t="shared" si="227"/>
        <v xml:space="preserve"> </v>
      </c>
      <c r="BJ71" s="162" t="str">
        <f t="shared" si="228"/>
        <v xml:space="preserve"> </v>
      </c>
      <c r="BK71" s="172" t="str">
        <f t="shared" si="229"/>
        <v xml:space="preserve"> </v>
      </c>
      <c r="BL71" s="185"/>
      <c r="BM71" s="160">
        <v>810</v>
      </c>
      <c r="BN71" s="195" t="s">
        <v>17</v>
      </c>
      <c r="BO71" s="178" t="e">
        <f t="shared" si="230"/>
        <v>#N/A</v>
      </c>
      <c r="BP71" s="162" t="e">
        <f t="shared" si="231"/>
        <v>#N/A</v>
      </c>
      <c r="BQ71" s="162" t="e">
        <f t="shared" si="232"/>
        <v>#N/A</v>
      </c>
      <c r="BR71" s="162" t="e">
        <f t="shared" si="233"/>
        <v>#N/A</v>
      </c>
      <c r="BS71" s="162" t="e">
        <f t="shared" si="234"/>
        <v>#N/A</v>
      </c>
      <c r="BT71" s="162" t="e">
        <f t="shared" si="235"/>
        <v>#N/A</v>
      </c>
      <c r="BU71" s="162" t="e">
        <f t="shared" si="236"/>
        <v>#N/A</v>
      </c>
      <c r="BV71" s="162" t="e">
        <f t="shared" si="237"/>
        <v>#N/A</v>
      </c>
      <c r="BW71" s="162" t="str">
        <f t="shared" si="238"/>
        <v xml:space="preserve"> </v>
      </c>
      <c r="BX71" s="162" t="str">
        <f t="shared" si="239"/>
        <v xml:space="preserve"> </v>
      </c>
      <c r="BY71" s="162" t="str">
        <f t="shared" si="240"/>
        <v xml:space="preserve"> </v>
      </c>
      <c r="BZ71" s="172" t="str">
        <f t="shared" si="241"/>
        <v xml:space="preserve"> </v>
      </c>
      <c r="CA71" s="189"/>
    </row>
    <row r="72" spans="1:79" ht="15.75" hidden="1" x14ac:dyDescent="0.25">
      <c r="A72" s="199">
        <f t="shared" ref="A72:A94" si="242">I72</f>
        <v>899</v>
      </c>
      <c r="B72" s="199" t="str">
        <f t="shared" ref="B72:B94" si="243">J72</f>
        <v>NGSA</v>
      </c>
      <c r="C72" s="56" t="str">
        <f t="shared" ref="C72:C94" si="244" xml:space="preserve"> V72</f>
        <v xml:space="preserve"> </v>
      </c>
      <c r="D72" s="53" t="str">
        <f t="shared" ref="D72:D94" si="245">AI72</f>
        <v xml:space="preserve"> </v>
      </c>
      <c r="E72" s="39" t="str">
        <f t="shared" ref="E72:E94" si="246">BK72</f>
        <v xml:space="preserve"> </v>
      </c>
      <c r="F72" s="39" t="str">
        <f t="shared" ref="F72:F94" si="247">BZ72</f>
        <v xml:space="preserve"> </v>
      </c>
      <c r="G72" s="210" t="str">
        <f t="shared" ref="G72:G94" si="248">AX72</f>
        <v xml:space="preserve"> </v>
      </c>
      <c r="I72" s="160">
        <v>899</v>
      </c>
      <c r="J72" s="195" t="s">
        <v>17</v>
      </c>
      <c r="K72" s="162" t="str">
        <f t="shared" si="182"/>
        <v xml:space="preserve"> </v>
      </c>
      <c r="L72" s="162" t="str">
        <f t="shared" si="183"/>
        <v xml:space="preserve"> </v>
      </c>
      <c r="M72" s="162" t="str">
        <f t="shared" si="184"/>
        <v xml:space="preserve"> </v>
      </c>
      <c r="N72" s="162" t="str">
        <f t="shared" si="185"/>
        <v xml:space="preserve"> </v>
      </c>
      <c r="O72" s="162" t="str">
        <f t="shared" si="186"/>
        <v xml:space="preserve"> </v>
      </c>
      <c r="P72" s="162" t="str">
        <f t="shared" si="187"/>
        <v xml:space="preserve"> </v>
      </c>
      <c r="Q72" s="162" t="str">
        <f t="shared" si="188"/>
        <v xml:space="preserve"> </v>
      </c>
      <c r="R72" s="162" t="str">
        <f t="shared" si="189"/>
        <v xml:space="preserve"> </v>
      </c>
      <c r="S72" s="162" t="str">
        <f t="shared" si="190"/>
        <v xml:space="preserve"> </v>
      </c>
      <c r="T72" s="162" t="str">
        <f t="shared" si="191"/>
        <v xml:space="preserve"> </v>
      </c>
      <c r="U72" s="162" t="str">
        <f t="shared" si="192"/>
        <v xml:space="preserve"> </v>
      </c>
      <c r="V72" s="172" t="str">
        <f t="shared" si="193"/>
        <v xml:space="preserve"> </v>
      </c>
      <c r="W72" s="185"/>
      <c r="X72" s="178" t="str">
        <f t="shared" si="194"/>
        <v xml:space="preserve"> </v>
      </c>
      <c r="Y72" s="162" t="str">
        <f t="shared" si="195"/>
        <v xml:space="preserve"> </v>
      </c>
      <c r="Z72" s="162" t="str">
        <f t="shared" si="196"/>
        <v xml:space="preserve"> </v>
      </c>
      <c r="AA72" s="162" t="str">
        <f t="shared" si="197"/>
        <v xml:space="preserve"> </v>
      </c>
      <c r="AB72" s="162" t="str">
        <f t="shared" si="198"/>
        <v xml:space="preserve"> </v>
      </c>
      <c r="AC72" s="162" t="str">
        <f t="shared" si="199"/>
        <v xml:space="preserve"> </v>
      </c>
      <c r="AD72" s="162" t="str">
        <f t="shared" si="200"/>
        <v xml:space="preserve"> </v>
      </c>
      <c r="AE72" s="162" t="str">
        <f t="shared" si="201"/>
        <v xml:space="preserve"> </v>
      </c>
      <c r="AF72" s="162" t="str">
        <f t="shared" si="202"/>
        <v xml:space="preserve"> </v>
      </c>
      <c r="AG72" s="162" t="str">
        <f t="shared" si="203"/>
        <v xml:space="preserve"> </v>
      </c>
      <c r="AH72" s="162" t="str">
        <f t="shared" si="204"/>
        <v xml:space="preserve"> </v>
      </c>
      <c r="AI72" s="172" t="str">
        <f t="shared" si="205"/>
        <v xml:space="preserve"> </v>
      </c>
      <c r="AJ72" s="185"/>
      <c r="AK72" s="160">
        <v>899</v>
      </c>
      <c r="AL72" s="195" t="s">
        <v>17</v>
      </c>
      <c r="AM72" s="178" t="str">
        <f t="shared" si="206"/>
        <v xml:space="preserve"> </v>
      </c>
      <c r="AN72" s="162" t="str">
        <f t="shared" si="207"/>
        <v xml:space="preserve"> </v>
      </c>
      <c r="AO72" s="162" t="str">
        <f t="shared" si="208"/>
        <v xml:space="preserve"> </v>
      </c>
      <c r="AP72" s="162" t="str">
        <f t="shared" si="209"/>
        <v xml:space="preserve"> </v>
      </c>
      <c r="AQ72" s="162" t="str">
        <f t="shared" si="210"/>
        <v xml:space="preserve"> </v>
      </c>
      <c r="AR72" s="162" t="str">
        <f t="shared" si="211"/>
        <v xml:space="preserve"> </v>
      </c>
      <c r="AS72" s="162" t="str">
        <f t="shared" si="212"/>
        <v xml:space="preserve"> </v>
      </c>
      <c r="AT72" s="162" t="str">
        <f t="shared" si="213"/>
        <v xml:space="preserve"> </v>
      </c>
      <c r="AU72" s="162" t="str">
        <f t="shared" si="214"/>
        <v xml:space="preserve"> </v>
      </c>
      <c r="AV72" s="162" t="str">
        <f t="shared" si="215"/>
        <v xml:space="preserve"> </v>
      </c>
      <c r="AW72" s="162" t="str">
        <f t="shared" si="216"/>
        <v xml:space="preserve"> </v>
      </c>
      <c r="AX72" s="172" t="str">
        <f t="shared" si="217"/>
        <v xml:space="preserve"> </v>
      </c>
      <c r="AY72" s="185"/>
      <c r="AZ72" s="178" t="str">
        <f t="shared" si="218"/>
        <v xml:space="preserve"> </v>
      </c>
      <c r="BA72" s="162" t="str">
        <f t="shared" si="219"/>
        <v xml:space="preserve"> </v>
      </c>
      <c r="BB72" s="162" t="str">
        <f t="shared" si="220"/>
        <v xml:space="preserve"> </v>
      </c>
      <c r="BC72" s="162" t="str">
        <f t="shared" si="221"/>
        <v xml:space="preserve"> </v>
      </c>
      <c r="BD72" s="162" t="str">
        <f t="shared" si="222"/>
        <v xml:space="preserve"> </v>
      </c>
      <c r="BE72" s="162" t="str">
        <f t="shared" si="223"/>
        <v xml:space="preserve"> </v>
      </c>
      <c r="BF72" s="162" t="str">
        <f t="shared" si="224"/>
        <v xml:space="preserve"> </v>
      </c>
      <c r="BG72" s="162" t="str">
        <f t="shared" si="225"/>
        <v xml:space="preserve"> </v>
      </c>
      <c r="BH72" s="162" t="str">
        <f t="shared" si="226"/>
        <v xml:space="preserve"> </v>
      </c>
      <c r="BI72" s="162" t="str">
        <f t="shared" si="227"/>
        <v xml:space="preserve"> </v>
      </c>
      <c r="BJ72" s="162" t="str">
        <f t="shared" si="228"/>
        <v xml:space="preserve"> </v>
      </c>
      <c r="BK72" s="172" t="str">
        <f t="shared" si="229"/>
        <v xml:space="preserve"> </v>
      </c>
      <c r="BL72" s="185"/>
      <c r="BM72" s="160">
        <v>899</v>
      </c>
      <c r="BN72" s="195" t="s">
        <v>17</v>
      </c>
      <c r="BO72" s="178" t="str">
        <f t="shared" si="230"/>
        <v xml:space="preserve"> </v>
      </c>
      <c r="BP72" s="162" t="str">
        <f t="shared" si="231"/>
        <v xml:space="preserve"> </v>
      </c>
      <c r="BQ72" s="162" t="str">
        <f t="shared" si="232"/>
        <v xml:space="preserve"> </v>
      </c>
      <c r="BR72" s="162" t="str">
        <f t="shared" si="233"/>
        <v xml:space="preserve"> </v>
      </c>
      <c r="BS72" s="162" t="str">
        <f t="shared" si="234"/>
        <v xml:space="preserve"> </v>
      </c>
      <c r="BT72" s="162" t="str">
        <f t="shared" si="235"/>
        <v xml:space="preserve"> </v>
      </c>
      <c r="BU72" s="162" t="str">
        <f t="shared" si="236"/>
        <v xml:space="preserve"> </v>
      </c>
      <c r="BV72" s="162" t="str">
        <f t="shared" si="237"/>
        <v xml:space="preserve"> </v>
      </c>
      <c r="BW72" s="162" t="str">
        <f t="shared" si="238"/>
        <v xml:space="preserve"> </v>
      </c>
      <c r="BX72" s="162" t="str">
        <f t="shared" si="239"/>
        <v xml:space="preserve"> </v>
      </c>
      <c r="BY72" s="162" t="str">
        <f t="shared" si="240"/>
        <v xml:space="preserve"> </v>
      </c>
      <c r="BZ72" s="172" t="str">
        <f t="shared" si="241"/>
        <v xml:space="preserve"> </v>
      </c>
      <c r="CA72" s="189"/>
    </row>
    <row r="73" spans="1:79" ht="15.75" x14ac:dyDescent="0.25">
      <c r="A73" s="199">
        <f t="shared" si="242"/>
        <v>809</v>
      </c>
      <c r="B73" s="199" t="str">
        <f t="shared" si="243"/>
        <v>NGSA</v>
      </c>
      <c r="C73" s="56" t="str">
        <f t="shared" si="244"/>
        <v xml:space="preserve"> </v>
      </c>
      <c r="D73" s="53" t="str">
        <f t="shared" si="245"/>
        <v xml:space="preserve"> </v>
      </c>
      <c r="E73" s="39" t="str">
        <f t="shared" si="246"/>
        <v xml:space="preserve"> </v>
      </c>
      <c r="F73" s="39" t="str">
        <f t="shared" si="247"/>
        <v xml:space="preserve"> </v>
      </c>
      <c r="G73" s="210" t="str">
        <f t="shared" si="248"/>
        <v xml:space="preserve"> </v>
      </c>
      <c r="I73" s="160">
        <v>809</v>
      </c>
      <c r="J73" s="195" t="s">
        <v>17</v>
      </c>
      <c r="K73" s="162" t="e">
        <f t="shared" si="182"/>
        <v>#N/A</v>
      </c>
      <c r="L73" s="162" t="e">
        <f t="shared" si="183"/>
        <v>#N/A</v>
      </c>
      <c r="M73" s="162" t="e">
        <f t="shared" si="184"/>
        <v>#N/A</v>
      </c>
      <c r="N73" s="162" t="e">
        <f t="shared" si="185"/>
        <v>#N/A</v>
      </c>
      <c r="O73" s="162" t="e">
        <f t="shared" si="186"/>
        <v>#N/A</v>
      </c>
      <c r="P73" s="162" t="e">
        <f t="shared" si="187"/>
        <v>#N/A</v>
      </c>
      <c r="Q73" s="162" t="e">
        <f t="shared" si="188"/>
        <v>#N/A</v>
      </c>
      <c r="R73" s="162" t="e">
        <f t="shared" si="189"/>
        <v>#N/A</v>
      </c>
      <c r="S73" s="162" t="str">
        <f t="shared" si="190"/>
        <v xml:space="preserve"> </v>
      </c>
      <c r="T73" s="162" t="str">
        <f t="shared" si="191"/>
        <v xml:space="preserve"> </v>
      </c>
      <c r="U73" s="162" t="str">
        <f t="shared" si="192"/>
        <v xml:space="preserve"> </v>
      </c>
      <c r="V73" s="172" t="str">
        <f t="shared" si="193"/>
        <v xml:space="preserve"> </v>
      </c>
      <c r="W73" s="185"/>
      <c r="X73" s="178" t="e">
        <f t="shared" si="194"/>
        <v>#N/A</v>
      </c>
      <c r="Y73" s="162" t="e">
        <f t="shared" si="195"/>
        <v>#N/A</v>
      </c>
      <c r="Z73" s="162" t="e">
        <f t="shared" si="196"/>
        <v>#N/A</v>
      </c>
      <c r="AA73" s="162" t="e">
        <f t="shared" si="197"/>
        <v>#N/A</v>
      </c>
      <c r="AB73" s="162" t="e">
        <f t="shared" si="198"/>
        <v>#N/A</v>
      </c>
      <c r="AC73" s="162" t="e">
        <f t="shared" si="199"/>
        <v>#N/A</v>
      </c>
      <c r="AD73" s="162" t="e">
        <f t="shared" si="200"/>
        <v>#N/A</v>
      </c>
      <c r="AE73" s="162" t="e">
        <f t="shared" si="201"/>
        <v>#N/A</v>
      </c>
      <c r="AF73" s="162" t="str">
        <f t="shared" si="202"/>
        <v xml:space="preserve"> </v>
      </c>
      <c r="AG73" s="162" t="str">
        <f t="shared" si="203"/>
        <v xml:space="preserve"> </v>
      </c>
      <c r="AH73" s="162" t="str">
        <f t="shared" si="204"/>
        <v xml:space="preserve"> </v>
      </c>
      <c r="AI73" s="172" t="str">
        <f t="shared" si="205"/>
        <v xml:space="preserve"> </v>
      </c>
      <c r="AJ73" s="185"/>
      <c r="AK73" s="160">
        <v>809</v>
      </c>
      <c r="AL73" s="195" t="s">
        <v>17</v>
      </c>
      <c r="AM73" s="178" t="e">
        <f t="shared" si="206"/>
        <v>#N/A</v>
      </c>
      <c r="AN73" s="162" t="e">
        <f t="shared" si="207"/>
        <v>#N/A</v>
      </c>
      <c r="AO73" s="162" t="e">
        <f t="shared" si="208"/>
        <v>#N/A</v>
      </c>
      <c r="AP73" s="162" t="e">
        <f t="shared" si="209"/>
        <v>#N/A</v>
      </c>
      <c r="AQ73" s="162" t="e">
        <f t="shared" si="210"/>
        <v>#N/A</v>
      </c>
      <c r="AR73" s="162" t="e">
        <f t="shared" si="211"/>
        <v>#N/A</v>
      </c>
      <c r="AS73" s="162" t="e">
        <f t="shared" si="212"/>
        <v>#N/A</v>
      </c>
      <c r="AT73" s="162" t="e">
        <f t="shared" si="213"/>
        <v>#N/A</v>
      </c>
      <c r="AU73" s="162" t="str">
        <f t="shared" si="214"/>
        <v xml:space="preserve"> </v>
      </c>
      <c r="AV73" s="162" t="str">
        <f t="shared" si="215"/>
        <v xml:space="preserve"> </v>
      </c>
      <c r="AW73" s="162" t="str">
        <f t="shared" si="216"/>
        <v xml:space="preserve"> </v>
      </c>
      <c r="AX73" s="172" t="str">
        <f t="shared" si="217"/>
        <v xml:space="preserve"> </v>
      </c>
      <c r="AY73" s="185"/>
      <c r="AZ73" s="178" t="e">
        <f t="shared" si="218"/>
        <v>#N/A</v>
      </c>
      <c r="BA73" s="162" t="e">
        <f t="shared" si="219"/>
        <v>#N/A</v>
      </c>
      <c r="BB73" s="162" t="e">
        <f t="shared" si="220"/>
        <v>#N/A</v>
      </c>
      <c r="BC73" s="162" t="e">
        <f t="shared" si="221"/>
        <v>#N/A</v>
      </c>
      <c r="BD73" s="162" t="e">
        <f t="shared" si="222"/>
        <v>#N/A</v>
      </c>
      <c r="BE73" s="162" t="e">
        <f t="shared" si="223"/>
        <v>#N/A</v>
      </c>
      <c r="BF73" s="162" t="e">
        <f t="shared" si="224"/>
        <v>#N/A</v>
      </c>
      <c r="BG73" s="162" t="e">
        <f t="shared" si="225"/>
        <v>#N/A</v>
      </c>
      <c r="BH73" s="162" t="str">
        <f t="shared" si="226"/>
        <v xml:space="preserve"> </v>
      </c>
      <c r="BI73" s="162" t="str">
        <f t="shared" si="227"/>
        <v xml:space="preserve"> </v>
      </c>
      <c r="BJ73" s="162" t="str">
        <f t="shared" si="228"/>
        <v xml:space="preserve"> </v>
      </c>
      <c r="BK73" s="172" t="str">
        <f t="shared" si="229"/>
        <v xml:space="preserve"> </v>
      </c>
      <c r="BL73" s="185"/>
      <c r="BM73" s="160">
        <v>809</v>
      </c>
      <c r="BN73" s="195" t="s">
        <v>17</v>
      </c>
      <c r="BO73" s="178" t="e">
        <f t="shared" si="230"/>
        <v>#N/A</v>
      </c>
      <c r="BP73" s="162" t="e">
        <f t="shared" si="231"/>
        <v>#N/A</v>
      </c>
      <c r="BQ73" s="162" t="e">
        <f t="shared" si="232"/>
        <v>#N/A</v>
      </c>
      <c r="BR73" s="162" t="e">
        <f t="shared" si="233"/>
        <v>#N/A</v>
      </c>
      <c r="BS73" s="162" t="e">
        <f t="shared" si="234"/>
        <v>#N/A</v>
      </c>
      <c r="BT73" s="162" t="e">
        <f t="shared" si="235"/>
        <v>#N/A</v>
      </c>
      <c r="BU73" s="162" t="e">
        <f t="shared" si="236"/>
        <v>#N/A</v>
      </c>
      <c r="BV73" s="162" t="e">
        <f t="shared" si="237"/>
        <v>#N/A</v>
      </c>
      <c r="BW73" s="162" t="str">
        <f t="shared" si="238"/>
        <v xml:space="preserve"> </v>
      </c>
      <c r="BX73" s="162" t="str">
        <f t="shared" si="239"/>
        <v xml:space="preserve"> </v>
      </c>
      <c r="BY73" s="162" t="str">
        <f t="shared" si="240"/>
        <v xml:space="preserve"> </v>
      </c>
      <c r="BZ73" s="172" t="str">
        <f t="shared" si="241"/>
        <v xml:space="preserve"> </v>
      </c>
      <c r="CA73" s="189"/>
    </row>
    <row r="74" spans="1:79" ht="15.75" x14ac:dyDescent="0.25">
      <c r="A74" s="199">
        <f t="shared" si="242"/>
        <v>810</v>
      </c>
      <c r="B74" s="199" t="str">
        <f t="shared" si="243"/>
        <v>NGSA</v>
      </c>
      <c r="C74" s="56" t="str">
        <f t="shared" si="244"/>
        <v xml:space="preserve"> </v>
      </c>
      <c r="D74" s="53" t="str">
        <f t="shared" si="245"/>
        <v xml:space="preserve"> </v>
      </c>
      <c r="E74" s="39" t="str">
        <f t="shared" si="246"/>
        <v xml:space="preserve"> </v>
      </c>
      <c r="F74" s="39" t="str">
        <f t="shared" si="247"/>
        <v xml:space="preserve"> </v>
      </c>
      <c r="G74" s="210" t="str">
        <f t="shared" si="248"/>
        <v xml:space="preserve"> </v>
      </c>
      <c r="I74" s="160">
        <v>810</v>
      </c>
      <c r="J74" s="195" t="s">
        <v>17</v>
      </c>
      <c r="K74" s="162" t="e">
        <f t="shared" si="182"/>
        <v>#N/A</v>
      </c>
      <c r="L74" s="162" t="e">
        <f t="shared" si="183"/>
        <v>#N/A</v>
      </c>
      <c r="M74" s="162" t="e">
        <f t="shared" si="184"/>
        <v>#N/A</v>
      </c>
      <c r="N74" s="162" t="e">
        <f t="shared" si="185"/>
        <v>#N/A</v>
      </c>
      <c r="O74" s="162" t="e">
        <f t="shared" si="186"/>
        <v>#N/A</v>
      </c>
      <c r="P74" s="162" t="e">
        <f t="shared" si="187"/>
        <v>#N/A</v>
      </c>
      <c r="Q74" s="162" t="e">
        <f t="shared" si="188"/>
        <v>#N/A</v>
      </c>
      <c r="R74" s="162" t="e">
        <f t="shared" si="189"/>
        <v>#N/A</v>
      </c>
      <c r="S74" s="162" t="str">
        <f t="shared" si="190"/>
        <v xml:space="preserve"> </v>
      </c>
      <c r="T74" s="162" t="str">
        <f t="shared" si="191"/>
        <v xml:space="preserve"> </v>
      </c>
      <c r="U74" s="162" t="str">
        <f t="shared" si="192"/>
        <v xml:space="preserve"> </v>
      </c>
      <c r="V74" s="172" t="str">
        <f t="shared" si="193"/>
        <v xml:space="preserve"> </v>
      </c>
      <c r="W74" s="185"/>
      <c r="X74" s="178" t="e">
        <f t="shared" si="194"/>
        <v>#N/A</v>
      </c>
      <c r="Y74" s="162" t="e">
        <f t="shared" si="195"/>
        <v>#N/A</v>
      </c>
      <c r="Z74" s="162" t="e">
        <f t="shared" si="196"/>
        <v>#N/A</v>
      </c>
      <c r="AA74" s="162" t="e">
        <f t="shared" si="197"/>
        <v>#N/A</v>
      </c>
      <c r="AB74" s="162" t="e">
        <f t="shared" si="198"/>
        <v>#N/A</v>
      </c>
      <c r="AC74" s="162" t="e">
        <f t="shared" si="199"/>
        <v>#N/A</v>
      </c>
      <c r="AD74" s="162" t="e">
        <f t="shared" si="200"/>
        <v>#N/A</v>
      </c>
      <c r="AE74" s="162" t="e">
        <f t="shared" si="201"/>
        <v>#N/A</v>
      </c>
      <c r="AF74" s="162" t="str">
        <f t="shared" si="202"/>
        <v xml:space="preserve"> </v>
      </c>
      <c r="AG74" s="162" t="str">
        <f t="shared" si="203"/>
        <v xml:space="preserve"> </v>
      </c>
      <c r="AH74" s="162" t="str">
        <f t="shared" si="204"/>
        <v xml:space="preserve"> </v>
      </c>
      <c r="AI74" s="172" t="str">
        <f t="shared" si="205"/>
        <v xml:space="preserve"> </v>
      </c>
      <c r="AJ74" s="185"/>
      <c r="AK74" s="160">
        <v>810</v>
      </c>
      <c r="AL74" s="195" t="s">
        <v>17</v>
      </c>
      <c r="AM74" s="178" t="e">
        <f t="shared" si="206"/>
        <v>#N/A</v>
      </c>
      <c r="AN74" s="162" t="e">
        <f t="shared" si="207"/>
        <v>#N/A</v>
      </c>
      <c r="AO74" s="162" t="e">
        <f t="shared" si="208"/>
        <v>#N/A</v>
      </c>
      <c r="AP74" s="162" t="e">
        <f t="shared" si="209"/>
        <v>#N/A</v>
      </c>
      <c r="AQ74" s="162" t="e">
        <f t="shared" si="210"/>
        <v>#N/A</v>
      </c>
      <c r="AR74" s="162" t="e">
        <f t="shared" si="211"/>
        <v>#N/A</v>
      </c>
      <c r="AS74" s="162" t="e">
        <f t="shared" si="212"/>
        <v>#N/A</v>
      </c>
      <c r="AT74" s="162" t="e">
        <f t="shared" si="213"/>
        <v>#N/A</v>
      </c>
      <c r="AU74" s="162" t="str">
        <f t="shared" si="214"/>
        <v xml:space="preserve"> </v>
      </c>
      <c r="AV74" s="162" t="str">
        <f t="shared" si="215"/>
        <v xml:space="preserve"> </v>
      </c>
      <c r="AW74" s="162" t="str">
        <f t="shared" si="216"/>
        <v xml:space="preserve"> </v>
      </c>
      <c r="AX74" s="172" t="str">
        <f t="shared" si="217"/>
        <v xml:space="preserve"> </v>
      </c>
      <c r="AY74" s="185"/>
      <c r="AZ74" s="178" t="e">
        <f t="shared" si="218"/>
        <v>#N/A</v>
      </c>
      <c r="BA74" s="162" t="e">
        <f t="shared" si="219"/>
        <v>#N/A</v>
      </c>
      <c r="BB74" s="162" t="e">
        <f t="shared" si="220"/>
        <v>#N/A</v>
      </c>
      <c r="BC74" s="162" t="e">
        <f t="shared" si="221"/>
        <v>#N/A</v>
      </c>
      <c r="BD74" s="162" t="e">
        <f t="shared" si="222"/>
        <v>#N/A</v>
      </c>
      <c r="BE74" s="162" t="e">
        <f t="shared" si="223"/>
        <v>#N/A</v>
      </c>
      <c r="BF74" s="162" t="e">
        <f t="shared" si="224"/>
        <v>#N/A</v>
      </c>
      <c r="BG74" s="162" t="e">
        <f t="shared" si="225"/>
        <v>#N/A</v>
      </c>
      <c r="BH74" s="162" t="str">
        <f t="shared" si="226"/>
        <v xml:space="preserve"> </v>
      </c>
      <c r="BI74" s="162" t="str">
        <f t="shared" si="227"/>
        <v xml:space="preserve"> </v>
      </c>
      <c r="BJ74" s="162" t="str">
        <f t="shared" si="228"/>
        <v xml:space="preserve"> </v>
      </c>
      <c r="BK74" s="172" t="str">
        <f t="shared" si="229"/>
        <v xml:space="preserve"> </v>
      </c>
      <c r="BL74" s="185"/>
      <c r="BM74" s="160">
        <v>810</v>
      </c>
      <c r="BN74" s="195" t="s">
        <v>17</v>
      </c>
      <c r="BO74" s="178" t="e">
        <f t="shared" si="230"/>
        <v>#N/A</v>
      </c>
      <c r="BP74" s="162" t="e">
        <f t="shared" si="231"/>
        <v>#N/A</v>
      </c>
      <c r="BQ74" s="162" t="e">
        <f t="shared" si="232"/>
        <v>#N/A</v>
      </c>
      <c r="BR74" s="162" t="e">
        <f t="shared" si="233"/>
        <v>#N/A</v>
      </c>
      <c r="BS74" s="162" t="e">
        <f t="shared" si="234"/>
        <v>#N/A</v>
      </c>
      <c r="BT74" s="162" t="e">
        <f t="shared" si="235"/>
        <v>#N/A</v>
      </c>
      <c r="BU74" s="162" t="e">
        <f t="shared" si="236"/>
        <v>#N/A</v>
      </c>
      <c r="BV74" s="162" t="e">
        <f t="shared" si="237"/>
        <v>#N/A</v>
      </c>
      <c r="BW74" s="162" t="str">
        <f t="shared" si="238"/>
        <v xml:space="preserve"> </v>
      </c>
      <c r="BX74" s="162" t="str">
        <f t="shared" si="239"/>
        <v xml:space="preserve"> </v>
      </c>
      <c r="BY74" s="162" t="str">
        <f t="shared" si="240"/>
        <v xml:space="preserve"> </v>
      </c>
      <c r="BZ74" s="172" t="str">
        <f t="shared" si="241"/>
        <v xml:space="preserve"> </v>
      </c>
      <c r="CA74" s="189"/>
    </row>
    <row r="75" spans="1:79" ht="15.75" x14ac:dyDescent="0.25">
      <c r="A75" s="199">
        <f t="shared" si="242"/>
        <v>899</v>
      </c>
      <c r="B75" s="199" t="str">
        <f t="shared" si="243"/>
        <v>NGSA</v>
      </c>
      <c r="C75" s="56" t="str">
        <f t="shared" si="244"/>
        <v xml:space="preserve"> </v>
      </c>
      <c r="D75" s="53" t="str">
        <f t="shared" si="245"/>
        <v xml:space="preserve"> </v>
      </c>
      <c r="E75" s="39" t="str">
        <f t="shared" si="246"/>
        <v xml:space="preserve"> </v>
      </c>
      <c r="F75" s="39" t="str">
        <f t="shared" si="247"/>
        <v xml:space="preserve"> </v>
      </c>
      <c r="G75" s="210" t="str">
        <f t="shared" si="248"/>
        <v xml:space="preserve"> </v>
      </c>
      <c r="I75" s="160">
        <v>899</v>
      </c>
      <c r="J75" s="195" t="s">
        <v>17</v>
      </c>
      <c r="K75" s="162" t="str">
        <f t="shared" si="182"/>
        <v xml:space="preserve"> </v>
      </c>
      <c r="L75" s="162" t="str">
        <f t="shared" si="183"/>
        <v xml:space="preserve"> </v>
      </c>
      <c r="M75" s="162" t="str">
        <f t="shared" si="184"/>
        <v xml:space="preserve"> </v>
      </c>
      <c r="N75" s="162" t="str">
        <f t="shared" si="185"/>
        <v xml:space="preserve"> </v>
      </c>
      <c r="O75" s="162" t="str">
        <f t="shared" si="186"/>
        <v xml:space="preserve"> </v>
      </c>
      <c r="P75" s="162" t="str">
        <f t="shared" si="187"/>
        <v xml:space="preserve"> </v>
      </c>
      <c r="Q75" s="162" t="str">
        <f t="shared" si="188"/>
        <v xml:space="preserve"> </v>
      </c>
      <c r="R75" s="162" t="str">
        <f t="shared" si="189"/>
        <v xml:space="preserve"> </v>
      </c>
      <c r="S75" s="162" t="str">
        <f t="shared" si="190"/>
        <v xml:space="preserve"> </v>
      </c>
      <c r="T75" s="162" t="str">
        <f t="shared" si="191"/>
        <v xml:space="preserve"> </v>
      </c>
      <c r="U75" s="162" t="str">
        <f t="shared" si="192"/>
        <v xml:space="preserve"> </v>
      </c>
      <c r="V75" s="172" t="str">
        <f t="shared" si="193"/>
        <v xml:space="preserve"> </v>
      </c>
      <c r="W75" s="185"/>
      <c r="X75" s="178" t="str">
        <f t="shared" si="194"/>
        <v xml:space="preserve"> </v>
      </c>
      <c r="Y75" s="162" t="str">
        <f t="shared" si="195"/>
        <v xml:space="preserve"> </v>
      </c>
      <c r="Z75" s="162" t="str">
        <f t="shared" si="196"/>
        <v xml:space="preserve"> </v>
      </c>
      <c r="AA75" s="162" t="str">
        <f t="shared" si="197"/>
        <v xml:space="preserve"> </v>
      </c>
      <c r="AB75" s="162" t="str">
        <f t="shared" si="198"/>
        <v xml:space="preserve"> </v>
      </c>
      <c r="AC75" s="162" t="str">
        <f t="shared" si="199"/>
        <v xml:space="preserve"> </v>
      </c>
      <c r="AD75" s="162" t="str">
        <f t="shared" si="200"/>
        <v xml:space="preserve"> </v>
      </c>
      <c r="AE75" s="162" t="str">
        <f t="shared" si="201"/>
        <v xml:space="preserve"> </v>
      </c>
      <c r="AF75" s="162" t="str">
        <f t="shared" si="202"/>
        <v xml:space="preserve"> </v>
      </c>
      <c r="AG75" s="162" t="str">
        <f t="shared" si="203"/>
        <v xml:space="preserve"> </v>
      </c>
      <c r="AH75" s="162" t="str">
        <f t="shared" si="204"/>
        <v xml:space="preserve"> </v>
      </c>
      <c r="AI75" s="172" t="str">
        <f t="shared" si="205"/>
        <v xml:space="preserve"> </v>
      </c>
      <c r="AJ75" s="185"/>
      <c r="AK75" s="160">
        <v>899</v>
      </c>
      <c r="AL75" s="195" t="s">
        <v>17</v>
      </c>
      <c r="AM75" s="178" t="str">
        <f t="shared" si="206"/>
        <v xml:space="preserve"> </v>
      </c>
      <c r="AN75" s="162" t="str">
        <f t="shared" si="207"/>
        <v xml:space="preserve"> </v>
      </c>
      <c r="AO75" s="162" t="str">
        <f t="shared" si="208"/>
        <v xml:space="preserve"> </v>
      </c>
      <c r="AP75" s="162" t="str">
        <f t="shared" si="209"/>
        <v xml:space="preserve"> </v>
      </c>
      <c r="AQ75" s="162" t="str">
        <f t="shared" si="210"/>
        <v xml:space="preserve"> </v>
      </c>
      <c r="AR75" s="162" t="str">
        <f t="shared" si="211"/>
        <v xml:space="preserve"> </v>
      </c>
      <c r="AS75" s="162" t="str">
        <f t="shared" si="212"/>
        <v xml:space="preserve"> </v>
      </c>
      <c r="AT75" s="162" t="str">
        <f t="shared" si="213"/>
        <v xml:space="preserve"> </v>
      </c>
      <c r="AU75" s="162" t="str">
        <f t="shared" si="214"/>
        <v xml:space="preserve"> </v>
      </c>
      <c r="AV75" s="162" t="str">
        <f t="shared" si="215"/>
        <v xml:space="preserve"> </v>
      </c>
      <c r="AW75" s="162" t="str">
        <f t="shared" si="216"/>
        <v xml:space="preserve"> </v>
      </c>
      <c r="AX75" s="172" t="str">
        <f t="shared" si="217"/>
        <v xml:space="preserve"> </v>
      </c>
      <c r="AY75" s="185"/>
      <c r="AZ75" s="178" t="str">
        <f t="shared" si="218"/>
        <v xml:space="preserve"> </v>
      </c>
      <c r="BA75" s="162" t="str">
        <f t="shared" si="219"/>
        <v xml:space="preserve"> </v>
      </c>
      <c r="BB75" s="162" t="str">
        <f t="shared" si="220"/>
        <v xml:space="preserve"> </v>
      </c>
      <c r="BC75" s="162" t="str">
        <f t="shared" si="221"/>
        <v xml:space="preserve"> </v>
      </c>
      <c r="BD75" s="162" t="str">
        <f t="shared" si="222"/>
        <v xml:space="preserve"> </v>
      </c>
      <c r="BE75" s="162" t="str">
        <f t="shared" si="223"/>
        <v xml:space="preserve"> </v>
      </c>
      <c r="BF75" s="162" t="str">
        <f t="shared" si="224"/>
        <v xml:space="preserve"> </v>
      </c>
      <c r="BG75" s="162" t="str">
        <f t="shared" si="225"/>
        <v xml:space="preserve"> </v>
      </c>
      <c r="BH75" s="162" t="str">
        <f t="shared" si="226"/>
        <v xml:space="preserve"> </v>
      </c>
      <c r="BI75" s="162" t="str">
        <f t="shared" si="227"/>
        <v xml:space="preserve"> </v>
      </c>
      <c r="BJ75" s="162" t="str">
        <f t="shared" si="228"/>
        <v xml:space="preserve"> </v>
      </c>
      <c r="BK75" s="172" t="str">
        <f t="shared" si="229"/>
        <v xml:space="preserve"> </v>
      </c>
      <c r="BL75" s="185"/>
      <c r="BM75" s="160">
        <v>899</v>
      </c>
      <c r="BN75" s="195" t="s">
        <v>17</v>
      </c>
      <c r="BO75" s="178" t="str">
        <f t="shared" si="230"/>
        <v xml:space="preserve"> </v>
      </c>
      <c r="BP75" s="162" t="str">
        <f t="shared" si="231"/>
        <v xml:space="preserve"> </v>
      </c>
      <c r="BQ75" s="162" t="str">
        <f t="shared" si="232"/>
        <v xml:space="preserve"> </v>
      </c>
      <c r="BR75" s="162" t="str">
        <f t="shared" si="233"/>
        <v xml:space="preserve"> </v>
      </c>
      <c r="BS75" s="162" t="str">
        <f t="shared" si="234"/>
        <v xml:space="preserve"> </v>
      </c>
      <c r="BT75" s="162" t="str">
        <f t="shared" si="235"/>
        <v xml:space="preserve"> </v>
      </c>
      <c r="BU75" s="162" t="str">
        <f t="shared" si="236"/>
        <v xml:space="preserve"> </v>
      </c>
      <c r="BV75" s="162" t="str">
        <f t="shared" si="237"/>
        <v xml:space="preserve"> </v>
      </c>
      <c r="BW75" s="162" t="str">
        <f t="shared" si="238"/>
        <v xml:space="preserve"> </v>
      </c>
      <c r="BX75" s="162" t="str">
        <f t="shared" si="239"/>
        <v xml:space="preserve"> </v>
      </c>
      <c r="BY75" s="162" t="str">
        <f t="shared" si="240"/>
        <v xml:space="preserve"> </v>
      </c>
      <c r="BZ75" s="172" t="str">
        <f t="shared" si="241"/>
        <v xml:space="preserve"> </v>
      </c>
      <c r="CA75" s="189"/>
    </row>
    <row r="76" spans="1:79" ht="15.75" x14ac:dyDescent="0.25">
      <c r="A76" s="199">
        <f t="shared" si="242"/>
        <v>928</v>
      </c>
      <c r="B76" s="199" t="str">
        <f t="shared" si="243"/>
        <v>NGSA</v>
      </c>
      <c r="C76" s="56" t="str">
        <f t="shared" si="244"/>
        <v xml:space="preserve"> </v>
      </c>
      <c r="D76" s="53" t="str">
        <f t="shared" si="245"/>
        <v xml:space="preserve"> </v>
      </c>
      <c r="E76" s="39" t="str">
        <f t="shared" si="246"/>
        <v xml:space="preserve"> </v>
      </c>
      <c r="F76" s="39" t="str">
        <f t="shared" si="247"/>
        <v xml:space="preserve"> </v>
      </c>
      <c r="G76" s="210" t="str">
        <f t="shared" si="248"/>
        <v xml:space="preserve"> </v>
      </c>
      <c r="I76" s="160">
        <v>928</v>
      </c>
      <c r="J76" s="195" t="s">
        <v>17</v>
      </c>
      <c r="K76" s="162" t="str">
        <f t="shared" si="182"/>
        <v xml:space="preserve"> </v>
      </c>
      <c r="L76" s="162" t="str">
        <f t="shared" si="183"/>
        <v xml:space="preserve"> </v>
      </c>
      <c r="M76" s="162" t="str">
        <f t="shared" si="184"/>
        <v xml:space="preserve"> </v>
      </c>
      <c r="N76" s="162" t="str">
        <f t="shared" si="185"/>
        <v xml:space="preserve"> </v>
      </c>
      <c r="O76" s="162" t="str">
        <f t="shared" si="186"/>
        <v xml:space="preserve"> </v>
      </c>
      <c r="P76" s="162" t="str">
        <f t="shared" si="187"/>
        <v xml:space="preserve"> </v>
      </c>
      <c r="Q76" s="162" t="str">
        <f t="shared" si="188"/>
        <v xml:space="preserve"> </v>
      </c>
      <c r="R76" s="162" t="str">
        <f t="shared" si="189"/>
        <v xml:space="preserve"> </v>
      </c>
      <c r="S76" s="162" t="str">
        <f t="shared" si="190"/>
        <v xml:space="preserve"> </v>
      </c>
      <c r="T76" s="162" t="str">
        <f t="shared" si="191"/>
        <v xml:space="preserve"> </v>
      </c>
      <c r="U76" s="162" t="str">
        <f t="shared" si="192"/>
        <v xml:space="preserve"> </v>
      </c>
      <c r="V76" s="172" t="str">
        <f t="shared" si="193"/>
        <v xml:space="preserve"> </v>
      </c>
      <c r="W76" s="185"/>
      <c r="X76" s="178" t="str">
        <f t="shared" si="194"/>
        <v xml:space="preserve"> </v>
      </c>
      <c r="Y76" s="162" t="str">
        <f t="shared" si="195"/>
        <v xml:space="preserve"> </v>
      </c>
      <c r="Z76" s="162" t="str">
        <f t="shared" si="196"/>
        <v xml:space="preserve"> </v>
      </c>
      <c r="AA76" s="162" t="str">
        <f t="shared" si="197"/>
        <v xml:space="preserve"> </v>
      </c>
      <c r="AB76" s="162" t="str">
        <f t="shared" si="198"/>
        <v xml:space="preserve"> </v>
      </c>
      <c r="AC76" s="162" t="str">
        <f t="shared" si="199"/>
        <v xml:space="preserve"> </v>
      </c>
      <c r="AD76" s="162" t="str">
        <f t="shared" si="200"/>
        <v xml:space="preserve"> </v>
      </c>
      <c r="AE76" s="162" t="str">
        <f t="shared" si="201"/>
        <v xml:space="preserve"> </v>
      </c>
      <c r="AF76" s="162" t="str">
        <f t="shared" si="202"/>
        <v xml:space="preserve"> </v>
      </c>
      <c r="AG76" s="162" t="str">
        <f t="shared" si="203"/>
        <v xml:space="preserve"> </v>
      </c>
      <c r="AH76" s="162" t="str">
        <f t="shared" si="204"/>
        <v xml:space="preserve"> </v>
      </c>
      <c r="AI76" s="172" t="str">
        <f t="shared" si="205"/>
        <v xml:space="preserve"> </v>
      </c>
      <c r="AJ76" s="185"/>
      <c r="AK76" s="160">
        <v>928</v>
      </c>
      <c r="AL76" s="195" t="s">
        <v>17</v>
      </c>
      <c r="AM76" s="178" t="str">
        <f t="shared" si="206"/>
        <v xml:space="preserve"> </v>
      </c>
      <c r="AN76" s="162" t="str">
        <f t="shared" si="207"/>
        <v xml:space="preserve"> </v>
      </c>
      <c r="AO76" s="162" t="str">
        <f t="shared" si="208"/>
        <v xml:space="preserve"> </v>
      </c>
      <c r="AP76" s="162" t="str">
        <f t="shared" si="209"/>
        <v xml:space="preserve"> </v>
      </c>
      <c r="AQ76" s="162" t="str">
        <f t="shared" si="210"/>
        <v xml:space="preserve"> </v>
      </c>
      <c r="AR76" s="162" t="str">
        <f t="shared" si="211"/>
        <v xml:space="preserve"> </v>
      </c>
      <c r="AS76" s="162" t="str">
        <f t="shared" si="212"/>
        <v xml:space="preserve"> </v>
      </c>
      <c r="AT76" s="162" t="str">
        <f t="shared" si="213"/>
        <v xml:space="preserve"> </v>
      </c>
      <c r="AU76" s="162" t="str">
        <f t="shared" si="214"/>
        <v xml:space="preserve"> </v>
      </c>
      <c r="AV76" s="162" t="str">
        <f t="shared" si="215"/>
        <v xml:space="preserve"> </v>
      </c>
      <c r="AW76" s="162" t="str">
        <f t="shared" si="216"/>
        <v xml:space="preserve"> </v>
      </c>
      <c r="AX76" s="172" t="str">
        <f t="shared" si="217"/>
        <v xml:space="preserve"> </v>
      </c>
      <c r="AY76" s="185"/>
      <c r="AZ76" s="178" t="str">
        <f t="shared" si="218"/>
        <v xml:space="preserve"> </v>
      </c>
      <c r="BA76" s="162" t="str">
        <f t="shared" si="219"/>
        <v xml:space="preserve"> </v>
      </c>
      <c r="BB76" s="162" t="str">
        <f t="shared" si="220"/>
        <v xml:space="preserve"> </v>
      </c>
      <c r="BC76" s="162" t="str">
        <f t="shared" si="221"/>
        <v xml:space="preserve"> </v>
      </c>
      <c r="BD76" s="162" t="str">
        <f t="shared" si="222"/>
        <v xml:space="preserve"> </v>
      </c>
      <c r="BE76" s="162" t="str">
        <f t="shared" si="223"/>
        <v xml:space="preserve"> </v>
      </c>
      <c r="BF76" s="162" t="str">
        <f t="shared" si="224"/>
        <v xml:space="preserve"> </v>
      </c>
      <c r="BG76" s="162" t="str">
        <f t="shared" si="225"/>
        <v xml:space="preserve"> </v>
      </c>
      <c r="BH76" s="162" t="str">
        <f t="shared" si="226"/>
        <v xml:space="preserve"> </v>
      </c>
      <c r="BI76" s="162" t="str">
        <f t="shared" si="227"/>
        <v xml:space="preserve"> </v>
      </c>
      <c r="BJ76" s="162" t="str">
        <f t="shared" si="228"/>
        <v xml:space="preserve"> </v>
      </c>
      <c r="BK76" s="172" t="str">
        <f t="shared" si="229"/>
        <v xml:space="preserve"> </v>
      </c>
      <c r="BL76" s="185"/>
      <c r="BM76" s="160">
        <v>928</v>
      </c>
      <c r="BN76" s="195" t="s">
        <v>17</v>
      </c>
      <c r="BO76" s="178" t="str">
        <f t="shared" si="230"/>
        <v xml:space="preserve"> </v>
      </c>
      <c r="BP76" s="162" t="str">
        <f t="shared" si="231"/>
        <v xml:space="preserve"> </v>
      </c>
      <c r="BQ76" s="162" t="str">
        <f t="shared" si="232"/>
        <v xml:space="preserve"> </v>
      </c>
      <c r="BR76" s="162" t="str">
        <f t="shared" si="233"/>
        <v xml:space="preserve"> </v>
      </c>
      <c r="BS76" s="162" t="str">
        <f t="shared" si="234"/>
        <v xml:space="preserve"> </v>
      </c>
      <c r="BT76" s="162" t="str">
        <f t="shared" si="235"/>
        <v xml:space="preserve"> </v>
      </c>
      <c r="BU76" s="162" t="str">
        <f t="shared" si="236"/>
        <v xml:space="preserve"> </v>
      </c>
      <c r="BV76" s="162" t="str">
        <f t="shared" si="237"/>
        <v xml:space="preserve"> </v>
      </c>
      <c r="BW76" s="162" t="str">
        <f t="shared" si="238"/>
        <v xml:space="preserve"> </v>
      </c>
      <c r="BX76" s="162" t="str">
        <f t="shared" si="239"/>
        <v xml:space="preserve"> </v>
      </c>
      <c r="BY76" s="162" t="str">
        <f t="shared" si="240"/>
        <v xml:space="preserve"> </v>
      </c>
      <c r="BZ76" s="172" t="str">
        <f t="shared" si="241"/>
        <v xml:space="preserve"> </v>
      </c>
      <c r="CA76" s="189"/>
    </row>
    <row r="77" spans="1:79" ht="15.75" x14ac:dyDescent="0.25">
      <c r="A77" s="199">
        <f t="shared" si="242"/>
        <v>997</v>
      </c>
      <c r="B77" s="199" t="str">
        <f t="shared" si="243"/>
        <v>NGSA</v>
      </c>
      <c r="C77" s="56" t="str">
        <f t="shared" si="244"/>
        <v xml:space="preserve"> </v>
      </c>
      <c r="D77" s="53" t="str">
        <f t="shared" si="245"/>
        <v xml:space="preserve"> </v>
      </c>
      <c r="E77" s="39" t="str">
        <f t="shared" si="246"/>
        <v xml:space="preserve"> </v>
      </c>
      <c r="F77" s="39" t="str">
        <f t="shared" si="247"/>
        <v xml:space="preserve"> </v>
      </c>
      <c r="G77" s="210" t="str">
        <f t="shared" si="248"/>
        <v xml:space="preserve"> </v>
      </c>
      <c r="I77" s="160">
        <v>997</v>
      </c>
      <c r="J77" s="195" t="s">
        <v>17</v>
      </c>
      <c r="K77" s="162" t="str">
        <f t="shared" si="182"/>
        <v xml:space="preserve"> </v>
      </c>
      <c r="L77" s="162" t="str">
        <f t="shared" si="183"/>
        <v xml:space="preserve"> </v>
      </c>
      <c r="M77" s="162" t="str">
        <f t="shared" si="184"/>
        <v xml:space="preserve"> </v>
      </c>
      <c r="N77" s="162" t="str">
        <f t="shared" si="185"/>
        <v xml:space="preserve"> </v>
      </c>
      <c r="O77" s="162" t="str">
        <f t="shared" si="186"/>
        <v xml:space="preserve"> </v>
      </c>
      <c r="P77" s="162" t="str">
        <f t="shared" si="187"/>
        <v xml:space="preserve"> </v>
      </c>
      <c r="Q77" s="162" t="str">
        <f t="shared" si="188"/>
        <v xml:space="preserve"> </v>
      </c>
      <c r="R77" s="162" t="str">
        <f t="shared" si="189"/>
        <v xml:space="preserve"> </v>
      </c>
      <c r="S77" s="162" t="str">
        <f t="shared" si="190"/>
        <v xml:space="preserve"> </v>
      </c>
      <c r="T77" s="162" t="str">
        <f t="shared" si="191"/>
        <v xml:space="preserve"> </v>
      </c>
      <c r="U77" s="162" t="str">
        <f t="shared" si="192"/>
        <v xml:space="preserve"> </v>
      </c>
      <c r="V77" s="172" t="str">
        <f t="shared" si="193"/>
        <v xml:space="preserve"> </v>
      </c>
      <c r="W77" s="185"/>
      <c r="X77" s="178" t="str">
        <f t="shared" si="194"/>
        <v xml:space="preserve"> </v>
      </c>
      <c r="Y77" s="162" t="str">
        <f t="shared" si="195"/>
        <v xml:space="preserve"> </v>
      </c>
      <c r="Z77" s="162" t="str">
        <f t="shared" si="196"/>
        <v xml:space="preserve"> </v>
      </c>
      <c r="AA77" s="162" t="str">
        <f t="shared" si="197"/>
        <v xml:space="preserve"> </v>
      </c>
      <c r="AB77" s="162" t="str">
        <f t="shared" si="198"/>
        <v xml:space="preserve"> </v>
      </c>
      <c r="AC77" s="162" t="str">
        <f t="shared" si="199"/>
        <v xml:space="preserve"> </v>
      </c>
      <c r="AD77" s="162" t="str">
        <f t="shared" si="200"/>
        <v xml:space="preserve"> </v>
      </c>
      <c r="AE77" s="162" t="str">
        <f t="shared" si="201"/>
        <v xml:space="preserve"> </v>
      </c>
      <c r="AF77" s="162" t="str">
        <f t="shared" si="202"/>
        <v xml:space="preserve"> </v>
      </c>
      <c r="AG77" s="162" t="str">
        <f t="shared" si="203"/>
        <v xml:space="preserve"> </v>
      </c>
      <c r="AH77" s="162" t="str">
        <f t="shared" si="204"/>
        <v xml:space="preserve"> </v>
      </c>
      <c r="AI77" s="172" t="str">
        <f t="shared" si="205"/>
        <v xml:space="preserve"> </v>
      </c>
      <c r="AJ77" s="185"/>
      <c r="AK77" s="160">
        <v>997</v>
      </c>
      <c r="AL77" s="195" t="s">
        <v>17</v>
      </c>
      <c r="AM77" s="178" t="str">
        <f t="shared" si="206"/>
        <v xml:space="preserve"> </v>
      </c>
      <c r="AN77" s="162" t="str">
        <f t="shared" si="207"/>
        <v xml:space="preserve"> </v>
      </c>
      <c r="AO77" s="162" t="str">
        <f t="shared" si="208"/>
        <v xml:space="preserve"> </v>
      </c>
      <c r="AP77" s="162" t="str">
        <f t="shared" si="209"/>
        <v xml:space="preserve"> </v>
      </c>
      <c r="AQ77" s="162" t="str">
        <f t="shared" si="210"/>
        <v xml:space="preserve"> </v>
      </c>
      <c r="AR77" s="162" t="str">
        <f t="shared" si="211"/>
        <v xml:space="preserve"> </v>
      </c>
      <c r="AS77" s="162" t="str">
        <f t="shared" si="212"/>
        <v xml:space="preserve"> </v>
      </c>
      <c r="AT77" s="162" t="str">
        <f t="shared" si="213"/>
        <v xml:space="preserve"> </v>
      </c>
      <c r="AU77" s="162" t="str">
        <f t="shared" si="214"/>
        <v xml:space="preserve"> </v>
      </c>
      <c r="AV77" s="162" t="str">
        <f t="shared" si="215"/>
        <v xml:space="preserve"> </v>
      </c>
      <c r="AW77" s="162" t="str">
        <f t="shared" si="216"/>
        <v xml:space="preserve"> </v>
      </c>
      <c r="AX77" s="172" t="str">
        <f t="shared" si="217"/>
        <v xml:space="preserve"> </v>
      </c>
      <c r="AY77" s="185"/>
      <c r="AZ77" s="178" t="str">
        <f t="shared" si="218"/>
        <v xml:space="preserve"> </v>
      </c>
      <c r="BA77" s="162" t="str">
        <f t="shared" si="219"/>
        <v xml:space="preserve"> </v>
      </c>
      <c r="BB77" s="162" t="str">
        <f t="shared" si="220"/>
        <v xml:space="preserve"> </v>
      </c>
      <c r="BC77" s="162" t="str">
        <f t="shared" si="221"/>
        <v xml:space="preserve"> </v>
      </c>
      <c r="BD77" s="162" t="str">
        <f t="shared" si="222"/>
        <v xml:space="preserve"> </v>
      </c>
      <c r="BE77" s="162" t="str">
        <f t="shared" si="223"/>
        <v xml:space="preserve"> </v>
      </c>
      <c r="BF77" s="162" t="str">
        <f t="shared" si="224"/>
        <v xml:space="preserve"> </v>
      </c>
      <c r="BG77" s="162" t="str">
        <f t="shared" si="225"/>
        <v xml:space="preserve"> </v>
      </c>
      <c r="BH77" s="162" t="str">
        <f t="shared" si="226"/>
        <v xml:space="preserve"> </v>
      </c>
      <c r="BI77" s="162" t="str">
        <f t="shared" si="227"/>
        <v xml:space="preserve"> </v>
      </c>
      <c r="BJ77" s="162" t="str">
        <f t="shared" si="228"/>
        <v xml:space="preserve"> </v>
      </c>
      <c r="BK77" s="172" t="str">
        <f t="shared" si="229"/>
        <v xml:space="preserve"> </v>
      </c>
      <c r="BL77" s="185"/>
      <c r="BM77" s="160">
        <v>997</v>
      </c>
      <c r="BN77" s="195" t="s">
        <v>17</v>
      </c>
      <c r="BO77" s="178" t="str">
        <f t="shared" si="230"/>
        <v xml:space="preserve"> </v>
      </c>
      <c r="BP77" s="162" t="str">
        <f t="shared" si="231"/>
        <v xml:space="preserve"> </v>
      </c>
      <c r="BQ77" s="162" t="str">
        <f t="shared" si="232"/>
        <v xml:space="preserve"> </v>
      </c>
      <c r="BR77" s="162" t="str">
        <f t="shared" si="233"/>
        <v xml:space="preserve"> </v>
      </c>
      <c r="BS77" s="162" t="str">
        <f t="shared" si="234"/>
        <v xml:space="preserve"> </v>
      </c>
      <c r="BT77" s="162" t="str">
        <f t="shared" si="235"/>
        <v xml:space="preserve"> </v>
      </c>
      <c r="BU77" s="162" t="str">
        <f t="shared" si="236"/>
        <v xml:space="preserve"> </v>
      </c>
      <c r="BV77" s="162" t="str">
        <f t="shared" si="237"/>
        <v xml:space="preserve"> </v>
      </c>
      <c r="BW77" s="162" t="str">
        <f t="shared" si="238"/>
        <v xml:space="preserve"> </v>
      </c>
      <c r="BX77" s="162" t="str">
        <f t="shared" si="239"/>
        <v xml:space="preserve"> </v>
      </c>
      <c r="BY77" s="162" t="str">
        <f t="shared" si="240"/>
        <v xml:space="preserve"> </v>
      </c>
      <c r="BZ77" s="172" t="str">
        <f t="shared" si="241"/>
        <v xml:space="preserve"> </v>
      </c>
      <c r="CA77" s="189"/>
    </row>
    <row r="78" spans="1:79" ht="15.75" x14ac:dyDescent="0.25">
      <c r="A78" s="199">
        <f t="shared" si="242"/>
        <v>5342</v>
      </c>
      <c r="B78" s="199" t="str">
        <f t="shared" si="243"/>
        <v>NGSA</v>
      </c>
      <c r="C78" s="56" t="str">
        <f t="shared" si="244"/>
        <v xml:space="preserve"> </v>
      </c>
      <c r="D78" s="53" t="str">
        <f t="shared" si="245"/>
        <v xml:space="preserve"> </v>
      </c>
      <c r="E78" s="39" t="str">
        <f t="shared" si="246"/>
        <v xml:space="preserve"> </v>
      </c>
      <c r="F78" s="39">
        <f t="shared" si="247"/>
        <v>1</v>
      </c>
      <c r="G78" s="210" t="str">
        <f t="shared" si="248"/>
        <v xml:space="preserve"> </v>
      </c>
      <c r="I78" s="160">
        <v>5342</v>
      </c>
      <c r="J78" s="195" t="s">
        <v>17</v>
      </c>
      <c r="K78" s="162" t="str">
        <f t="shared" ref="K78:K94" si="249">VLOOKUP($I78,ngsa0407,17,FALSE)</f>
        <v xml:space="preserve"> </v>
      </c>
      <c r="L78" s="162" t="str">
        <f t="shared" ref="L78:L94" si="250">VLOOKUP($I78,ngsa0412,17,FALSE)</f>
        <v xml:space="preserve"> </v>
      </c>
      <c r="M78" s="162" t="str">
        <f t="shared" ref="M78:M94" si="251">VLOOKUP($I78,ngsa0415,17,FALSE)</f>
        <v xml:space="preserve"> </v>
      </c>
      <c r="N78" s="162" t="str">
        <f t="shared" ref="N78:N94" si="252">VLOOKUP($I78,ngsa0416,17,FALSE)</f>
        <v xml:space="preserve"> </v>
      </c>
      <c r="O78" s="162" t="str">
        <f t="shared" ref="O78:O94" si="253">VLOOKUP($I78,ngsa0426,17,FALSE)</f>
        <v xml:space="preserve"> </v>
      </c>
      <c r="P78" s="162" t="str">
        <f t="shared" ref="P78:P94" si="254">VLOOKUP($I78,ngsa0521,17,FALSE)</f>
        <v xml:space="preserve"> </v>
      </c>
      <c r="Q78" s="162" t="str">
        <f t="shared" ref="Q78:Q94" si="255">VLOOKUP($I78,ngsa0527,17,FALSE)</f>
        <v xml:space="preserve"> </v>
      </c>
      <c r="R78" s="162" t="str">
        <f t="shared" ref="R78:R94" si="256">VLOOKUP($I78,ngsa0528,17,FALSE)</f>
        <v xml:space="preserve"> </v>
      </c>
      <c r="S78" s="162" t="str">
        <f t="shared" ref="S78:S94" si="257">VLOOKUP($I78,ngsa0603,17,FALSE)</f>
        <v xml:space="preserve"> </v>
      </c>
      <c r="T78" s="162" t="e">
        <f t="shared" ref="T78:T94" si="258">VLOOKUP($I78,ngsa0604,17,FALSE)</f>
        <v>#N/A</v>
      </c>
      <c r="U78" s="162" t="e">
        <f t="shared" ref="U78:U94" si="259">VLOOKUP($I78,ngsa0612,17,FALSE)</f>
        <v>#N/A</v>
      </c>
      <c r="V78" s="172" t="str">
        <f t="shared" ref="V78:V94" si="260">IF(COUNTIF(K78:U78,"x")=0," ",COUNTIF(K78:U78,"x"))</f>
        <v xml:space="preserve"> </v>
      </c>
      <c r="W78" s="185"/>
      <c r="X78" s="178" t="str">
        <f t="shared" ref="X78:X94" si="261">VLOOKUP($I78,ngsa0407,18,FALSE)</f>
        <v xml:space="preserve"> </v>
      </c>
      <c r="Y78" s="162" t="str">
        <f t="shared" ref="Y78:Y94" si="262">VLOOKUP($I78,ngsa0412,18,FALSE)</f>
        <v xml:space="preserve"> </v>
      </c>
      <c r="Z78" s="162" t="str">
        <f t="shared" ref="Z78:Z94" si="263">VLOOKUP($I78,ngsa0415,18,FALSE)</f>
        <v xml:space="preserve"> </v>
      </c>
      <c r="AA78" s="162" t="str">
        <f t="shared" ref="AA78:AA94" si="264">VLOOKUP($I78,ngsa0416,18,FALSE)</f>
        <v xml:space="preserve"> </v>
      </c>
      <c r="AB78" s="162" t="str">
        <f t="shared" ref="AB78:AB94" si="265">VLOOKUP($I78,ngsa0426,18,FALSE)</f>
        <v xml:space="preserve"> </v>
      </c>
      <c r="AC78" s="162" t="str">
        <f t="shared" ref="AC78:AC94" si="266">VLOOKUP($I78,ngsa0521,18,FALSE)</f>
        <v xml:space="preserve"> </v>
      </c>
      <c r="AD78" s="162" t="str">
        <f t="shared" ref="AD78:AD94" si="267">VLOOKUP($I78,ngsa0527,18,FALSE)</f>
        <v xml:space="preserve"> </v>
      </c>
      <c r="AE78" s="162" t="str">
        <f t="shared" ref="AE78:AE94" si="268">VLOOKUP($I78,ngsa0528,18,FALSE)</f>
        <v xml:space="preserve"> </v>
      </c>
      <c r="AF78" s="162" t="str">
        <f t="shared" ref="AF78:AF94" si="269">VLOOKUP($I78,ngsa0603,18,FALSE)</f>
        <v xml:space="preserve"> </v>
      </c>
      <c r="AG78" s="162" t="e">
        <f t="shared" ref="AG78:AG94" si="270">VLOOKUP($I78,ngsa0604,18,FALSE)</f>
        <v>#N/A</v>
      </c>
      <c r="AH78" s="162" t="e">
        <f t="shared" ref="AH78:AH94" si="271">VLOOKUP($I78,ngsa0612,18,FALSE)</f>
        <v>#N/A</v>
      </c>
      <c r="AI78" s="172" t="str">
        <f t="shared" ref="AI78:AI94" si="272">IF(COUNTIF(X78:AH78,"x")=0," ",COUNTIF(X78:AH78,"x"))</f>
        <v xml:space="preserve"> </v>
      </c>
      <c r="AJ78" s="185"/>
      <c r="AK78" s="160">
        <v>5342</v>
      </c>
      <c r="AL78" s="195" t="s">
        <v>17</v>
      </c>
      <c r="AM78" s="178" t="str">
        <f t="shared" ref="AM78:AM94" si="273">VLOOKUP($I78,ngsa0407,19,FALSE)</f>
        <v xml:space="preserve"> </v>
      </c>
      <c r="AN78" s="162" t="str">
        <f t="shared" ref="AN78:AN94" si="274">VLOOKUP($I78,ngsa0412,19,FALSE)</f>
        <v xml:space="preserve"> </v>
      </c>
      <c r="AO78" s="162" t="str">
        <f t="shared" ref="AO78:AO94" si="275">VLOOKUP($I78,ngsa0415,19,FALSE)</f>
        <v xml:space="preserve"> </v>
      </c>
      <c r="AP78" s="162" t="str">
        <f t="shared" ref="AP78:AP94" si="276">VLOOKUP($I78,ngsa0416,19,FALSE)</f>
        <v xml:space="preserve"> </v>
      </c>
      <c r="AQ78" s="162" t="str">
        <f t="shared" ref="AQ78:AQ94" si="277">VLOOKUP($I78,ngsa0426,19,FALSE)</f>
        <v xml:space="preserve"> </v>
      </c>
      <c r="AR78" s="162" t="str">
        <f t="shared" ref="AR78:AR94" si="278">VLOOKUP($I78,ngsa0521,19,FALSE)</f>
        <v xml:space="preserve"> </v>
      </c>
      <c r="AS78" s="162" t="str">
        <f t="shared" ref="AS78:AS94" si="279">VLOOKUP($I78,ngsa0527,19,FALSE)</f>
        <v xml:space="preserve"> </v>
      </c>
      <c r="AT78" s="162" t="str">
        <f t="shared" ref="AT78:AT94" si="280">VLOOKUP($I78,ngsa0528,19,FALSE)</f>
        <v xml:space="preserve"> </v>
      </c>
      <c r="AU78" s="162" t="str">
        <f t="shared" ref="AU78:AU94" si="281">VLOOKUP($I78,ngsa0603,19,FALSE)</f>
        <v xml:space="preserve"> </v>
      </c>
      <c r="AV78" s="162" t="e">
        <f t="shared" ref="AV78:AV94" si="282">VLOOKUP($I78,ngsa0604,19,FALSE)</f>
        <v>#N/A</v>
      </c>
      <c r="AW78" s="162" t="e">
        <f t="shared" ref="AW78:AW94" si="283">VLOOKUP($I78,ngsa0612,19,FALSE)</f>
        <v>#N/A</v>
      </c>
      <c r="AX78" s="172" t="str">
        <f t="shared" ref="AX78:AX94" si="284">IF(COUNTIF(AM78:AW78,"x")=0," ",COUNTIF(AM78:AW78,"x"))</f>
        <v xml:space="preserve"> </v>
      </c>
      <c r="AY78" s="185"/>
      <c r="AZ78" s="178" t="str">
        <f t="shared" ref="AZ78:AZ94" si="285">VLOOKUP($I78,ngsa0407,20,FALSE)</f>
        <v xml:space="preserve"> </v>
      </c>
      <c r="BA78" s="162" t="str">
        <f t="shared" ref="BA78:BA94" si="286">VLOOKUP($I78,ngsa0412,20,FALSE)</f>
        <v xml:space="preserve"> </v>
      </c>
      <c r="BB78" s="162" t="str">
        <f t="shared" ref="BB78:BB94" si="287">VLOOKUP($I78,ngsa0415,20,FALSE)</f>
        <v xml:space="preserve"> </v>
      </c>
      <c r="BC78" s="162" t="str">
        <f t="shared" ref="BC78:BC94" si="288">VLOOKUP($I78,ngsa0416,20,FALSE)</f>
        <v xml:space="preserve"> </v>
      </c>
      <c r="BD78" s="162" t="str">
        <f t="shared" ref="BD78:BD94" si="289">VLOOKUP($I78,ngsa0426,20,FALSE)</f>
        <v xml:space="preserve"> </v>
      </c>
      <c r="BE78" s="162" t="str">
        <f t="shared" ref="BE78:BE94" si="290">VLOOKUP($I78,ngsa0521,20,FALSE)</f>
        <v xml:space="preserve"> </v>
      </c>
      <c r="BF78" s="162" t="str">
        <f t="shared" ref="BF78:BF94" si="291">VLOOKUP($I78,ngsa0527,20,FALSE)</f>
        <v xml:space="preserve"> </v>
      </c>
      <c r="BG78" s="162" t="str">
        <f t="shared" ref="BG78:BG94" si="292">VLOOKUP($I78,ngsa0528,20,FALSE)</f>
        <v xml:space="preserve"> </v>
      </c>
      <c r="BH78" s="162" t="str">
        <f t="shared" ref="BH78:BH94" si="293">VLOOKUP($I78,ngsa0603,20,FALSE)</f>
        <v xml:space="preserve"> </v>
      </c>
      <c r="BI78" s="162" t="e">
        <f t="shared" ref="BI78:BI94" si="294">VLOOKUP($I78,ngsa0604,20,FALSE)</f>
        <v>#N/A</v>
      </c>
      <c r="BJ78" s="162" t="e">
        <f t="shared" ref="BJ78:BJ94" si="295">VLOOKUP($I78,ngsa0612,20,FALSE)</f>
        <v>#N/A</v>
      </c>
      <c r="BK78" s="172" t="str">
        <f t="shared" ref="BK78:BK94" si="296">IF(COUNTIF(AZ78:BJ78,"x")=0," ",COUNTIF(AZ78:BJ78,"x"))</f>
        <v xml:space="preserve"> </v>
      </c>
      <c r="BL78" s="185"/>
      <c r="BM78" s="160">
        <v>5342</v>
      </c>
      <c r="BN78" s="195" t="s">
        <v>17</v>
      </c>
      <c r="BO78" s="178" t="str">
        <f t="shared" ref="BO78:BO94" si="297">VLOOKUP($I78,ngsa0407,21,FALSE)</f>
        <v xml:space="preserve"> </v>
      </c>
      <c r="BP78" s="162" t="str">
        <f t="shared" ref="BP78:BP94" si="298">VLOOKUP($I78,ngsa0412,21,FALSE)</f>
        <v xml:space="preserve"> </v>
      </c>
      <c r="BQ78" s="162" t="str">
        <f t="shared" ref="BQ78:BQ94" si="299">VLOOKUP($I78,ngsa0415,21,FALSE)</f>
        <v xml:space="preserve"> </v>
      </c>
      <c r="BR78" s="162" t="str">
        <f t="shared" ref="BR78:BR94" si="300">VLOOKUP($I78,ngsa0416,21,FALSE)</f>
        <v>X</v>
      </c>
      <c r="BS78" s="162" t="str">
        <f t="shared" ref="BS78:BS94" si="301">VLOOKUP($I78,ngsa0426,21,FALSE)</f>
        <v xml:space="preserve"> </v>
      </c>
      <c r="BT78" s="162" t="str">
        <f t="shared" ref="BT78:BT94" si="302">VLOOKUP($I78,ngsa0521,21,FALSE)</f>
        <v xml:space="preserve"> </v>
      </c>
      <c r="BU78" s="162" t="str">
        <f t="shared" ref="BU78:BU94" si="303">VLOOKUP($I78,ngsa0527,21,FALSE)</f>
        <v xml:space="preserve"> </v>
      </c>
      <c r="BV78" s="162" t="str">
        <f t="shared" ref="BV78:BV94" si="304">VLOOKUP($I78,ngsa0528,21,FALSE)</f>
        <v xml:space="preserve"> </v>
      </c>
      <c r="BW78" s="162" t="str">
        <f t="shared" ref="BW78:BW94" si="305">VLOOKUP($I78,ngsa0603,21,FALSE)</f>
        <v xml:space="preserve"> </v>
      </c>
      <c r="BX78" s="162" t="e">
        <f t="shared" ref="BX78:BX94" si="306">VLOOKUP($I78,ngsa0604,21,FALSE)</f>
        <v>#N/A</v>
      </c>
      <c r="BY78" s="162" t="e">
        <f t="shared" ref="BY78:BY94" si="307">VLOOKUP($I78,ngsa0612,21,FALSE)</f>
        <v>#N/A</v>
      </c>
      <c r="BZ78" s="172">
        <f t="shared" ref="BZ78:BZ94" si="308">IF(COUNTIF(BO78:BY78,"x")=0," ",COUNTIF(BO78:BY78,"x"))</f>
        <v>1</v>
      </c>
      <c r="CA78" s="189"/>
    </row>
    <row r="79" spans="1:79" ht="15.75" x14ac:dyDescent="0.25">
      <c r="A79" s="199">
        <f t="shared" si="242"/>
        <v>5379</v>
      </c>
      <c r="B79" s="199" t="str">
        <f t="shared" si="243"/>
        <v>NGSA</v>
      </c>
      <c r="C79" s="56" t="str">
        <f t="shared" si="244"/>
        <v xml:space="preserve"> </v>
      </c>
      <c r="D79" s="53" t="str">
        <f t="shared" si="245"/>
        <v xml:space="preserve"> </v>
      </c>
      <c r="E79" s="39" t="str">
        <f t="shared" si="246"/>
        <v xml:space="preserve"> </v>
      </c>
      <c r="F79" s="39" t="str">
        <f t="shared" si="247"/>
        <v xml:space="preserve"> </v>
      </c>
      <c r="G79" s="210" t="str">
        <f t="shared" si="248"/>
        <v xml:space="preserve"> </v>
      </c>
      <c r="I79" s="160">
        <v>5379</v>
      </c>
      <c r="J79" s="195" t="s">
        <v>17</v>
      </c>
      <c r="K79" s="162" t="str">
        <f t="shared" si="249"/>
        <v xml:space="preserve"> </v>
      </c>
      <c r="L79" s="162" t="str">
        <f t="shared" si="250"/>
        <v xml:space="preserve"> </v>
      </c>
      <c r="M79" s="162" t="str">
        <f t="shared" si="251"/>
        <v xml:space="preserve"> </v>
      </c>
      <c r="N79" s="162" t="str">
        <f t="shared" si="252"/>
        <v xml:space="preserve"> </v>
      </c>
      <c r="O79" s="162" t="str">
        <f t="shared" si="253"/>
        <v xml:space="preserve"> </v>
      </c>
      <c r="P79" s="162" t="str">
        <f t="shared" si="254"/>
        <v xml:space="preserve"> </v>
      </c>
      <c r="Q79" s="162" t="str">
        <f t="shared" si="255"/>
        <v xml:space="preserve"> </v>
      </c>
      <c r="R79" s="162" t="str">
        <f t="shared" si="256"/>
        <v xml:space="preserve"> </v>
      </c>
      <c r="S79" s="162" t="str">
        <f t="shared" si="257"/>
        <v xml:space="preserve"> </v>
      </c>
      <c r="T79" s="162" t="str">
        <f t="shared" si="258"/>
        <v xml:space="preserve"> </v>
      </c>
      <c r="U79" s="162" t="str">
        <f t="shared" si="259"/>
        <v xml:space="preserve"> </v>
      </c>
      <c r="V79" s="172" t="str">
        <f t="shared" si="260"/>
        <v xml:space="preserve"> </v>
      </c>
      <c r="W79" s="185"/>
      <c r="X79" s="178" t="str">
        <f t="shared" si="261"/>
        <v xml:space="preserve"> </v>
      </c>
      <c r="Y79" s="162" t="str">
        <f t="shared" si="262"/>
        <v xml:space="preserve"> </v>
      </c>
      <c r="Z79" s="162" t="str">
        <f t="shared" si="263"/>
        <v xml:space="preserve"> </v>
      </c>
      <c r="AA79" s="162" t="str">
        <f t="shared" si="264"/>
        <v xml:space="preserve"> </v>
      </c>
      <c r="AB79" s="162" t="str">
        <f t="shared" si="265"/>
        <v xml:space="preserve"> </v>
      </c>
      <c r="AC79" s="162" t="str">
        <f t="shared" si="266"/>
        <v xml:space="preserve"> </v>
      </c>
      <c r="AD79" s="162" t="str">
        <f t="shared" si="267"/>
        <v xml:space="preserve"> </v>
      </c>
      <c r="AE79" s="162" t="str">
        <f t="shared" si="268"/>
        <v xml:space="preserve"> </v>
      </c>
      <c r="AF79" s="162" t="str">
        <f t="shared" si="269"/>
        <v xml:space="preserve"> </v>
      </c>
      <c r="AG79" s="162" t="str">
        <f t="shared" si="270"/>
        <v xml:space="preserve"> </v>
      </c>
      <c r="AH79" s="162" t="str">
        <f t="shared" si="271"/>
        <v xml:space="preserve"> </v>
      </c>
      <c r="AI79" s="172" t="str">
        <f t="shared" si="272"/>
        <v xml:space="preserve"> </v>
      </c>
      <c r="AJ79" s="185"/>
      <c r="AK79" s="160">
        <v>5379</v>
      </c>
      <c r="AL79" s="195" t="s">
        <v>17</v>
      </c>
      <c r="AM79" s="178" t="str">
        <f t="shared" si="273"/>
        <v xml:space="preserve"> </v>
      </c>
      <c r="AN79" s="162" t="str">
        <f t="shared" si="274"/>
        <v xml:space="preserve"> </v>
      </c>
      <c r="AO79" s="162" t="str">
        <f t="shared" si="275"/>
        <v xml:space="preserve"> </v>
      </c>
      <c r="AP79" s="162" t="str">
        <f t="shared" si="276"/>
        <v xml:space="preserve"> </v>
      </c>
      <c r="AQ79" s="162" t="str">
        <f t="shared" si="277"/>
        <v xml:space="preserve"> </v>
      </c>
      <c r="AR79" s="162" t="str">
        <f t="shared" si="278"/>
        <v xml:space="preserve"> </v>
      </c>
      <c r="AS79" s="162" t="str">
        <f t="shared" si="279"/>
        <v xml:space="preserve"> </v>
      </c>
      <c r="AT79" s="162" t="str">
        <f t="shared" si="280"/>
        <v xml:space="preserve"> </v>
      </c>
      <c r="AU79" s="162" t="str">
        <f t="shared" si="281"/>
        <v xml:space="preserve"> </v>
      </c>
      <c r="AV79" s="162" t="str">
        <f t="shared" si="282"/>
        <v xml:space="preserve"> </v>
      </c>
      <c r="AW79" s="162" t="str">
        <f t="shared" si="283"/>
        <v xml:space="preserve"> </v>
      </c>
      <c r="AX79" s="172" t="str">
        <f t="shared" si="284"/>
        <v xml:space="preserve"> </v>
      </c>
      <c r="AY79" s="185"/>
      <c r="AZ79" s="178" t="str">
        <f t="shared" si="285"/>
        <v xml:space="preserve"> </v>
      </c>
      <c r="BA79" s="162" t="str">
        <f t="shared" si="286"/>
        <v xml:space="preserve"> </v>
      </c>
      <c r="BB79" s="162" t="str">
        <f t="shared" si="287"/>
        <v xml:space="preserve"> </v>
      </c>
      <c r="BC79" s="162" t="str">
        <f t="shared" si="288"/>
        <v xml:space="preserve"> </v>
      </c>
      <c r="BD79" s="162" t="str">
        <f t="shared" si="289"/>
        <v xml:space="preserve"> </v>
      </c>
      <c r="BE79" s="162" t="str">
        <f t="shared" si="290"/>
        <v xml:space="preserve"> </v>
      </c>
      <c r="BF79" s="162" t="str">
        <f t="shared" si="291"/>
        <v xml:space="preserve"> </v>
      </c>
      <c r="BG79" s="162" t="str">
        <f t="shared" si="292"/>
        <v xml:space="preserve"> </v>
      </c>
      <c r="BH79" s="162" t="str">
        <f t="shared" si="293"/>
        <v xml:space="preserve"> </v>
      </c>
      <c r="BI79" s="162" t="str">
        <f t="shared" si="294"/>
        <v xml:space="preserve"> </v>
      </c>
      <c r="BJ79" s="162" t="str">
        <f t="shared" si="295"/>
        <v xml:space="preserve"> </v>
      </c>
      <c r="BK79" s="172" t="str">
        <f t="shared" si="296"/>
        <v xml:space="preserve"> </v>
      </c>
      <c r="BL79" s="185"/>
      <c r="BM79" s="160">
        <v>5379</v>
      </c>
      <c r="BN79" s="195" t="s">
        <v>17</v>
      </c>
      <c r="BO79" s="178" t="str">
        <f t="shared" si="297"/>
        <v xml:space="preserve"> </v>
      </c>
      <c r="BP79" s="162" t="str">
        <f t="shared" si="298"/>
        <v xml:space="preserve"> </v>
      </c>
      <c r="BQ79" s="162" t="str">
        <f t="shared" si="299"/>
        <v xml:space="preserve"> </v>
      </c>
      <c r="BR79" s="162" t="str">
        <f t="shared" si="300"/>
        <v xml:space="preserve"> </v>
      </c>
      <c r="BS79" s="162" t="str">
        <f t="shared" si="301"/>
        <v xml:space="preserve"> </v>
      </c>
      <c r="BT79" s="162" t="str">
        <f t="shared" si="302"/>
        <v xml:space="preserve"> </v>
      </c>
      <c r="BU79" s="162" t="str">
        <f t="shared" si="303"/>
        <v xml:space="preserve"> </v>
      </c>
      <c r="BV79" s="162" t="str">
        <f t="shared" si="304"/>
        <v xml:space="preserve"> </v>
      </c>
      <c r="BW79" s="162" t="str">
        <f t="shared" si="305"/>
        <v xml:space="preserve"> </v>
      </c>
      <c r="BX79" s="162" t="str">
        <f t="shared" si="306"/>
        <v xml:space="preserve"> </v>
      </c>
      <c r="BY79" s="162" t="str">
        <f t="shared" si="307"/>
        <v xml:space="preserve"> </v>
      </c>
      <c r="BZ79" s="172" t="str">
        <f t="shared" si="308"/>
        <v xml:space="preserve"> </v>
      </c>
      <c r="CA79" s="189"/>
    </row>
    <row r="80" spans="1:79" ht="15.75" x14ac:dyDescent="0.25">
      <c r="A80" s="199">
        <f t="shared" si="242"/>
        <v>6187</v>
      </c>
      <c r="B80" s="199" t="str">
        <f t="shared" si="243"/>
        <v>NGSA</v>
      </c>
      <c r="C80" s="56" t="str">
        <f t="shared" si="244"/>
        <v xml:space="preserve"> </v>
      </c>
      <c r="D80" s="53" t="str">
        <f t="shared" si="245"/>
        <v xml:space="preserve"> </v>
      </c>
      <c r="E80" s="39" t="str">
        <f t="shared" si="246"/>
        <v xml:space="preserve"> </v>
      </c>
      <c r="F80" s="39" t="str">
        <f t="shared" si="247"/>
        <v xml:space="preserve"> </v>
      </c>
      <c r="G80" s="210" t="str">
        <f t="shared" si="248"/>
        <v xml:space="preserve"> </v>
      </c>
      <c r="I80" s="160">
        <v>6187</v>
      </c>
      <c r="J80" s="195" t="s">
        <v>17</v>
      </c>
      <c r="K80" s="162" t="e">
        <f t="shared" si="249"/>
        <v>#N/A</v>
      </c>
      <c r="L80" s="162" t="e">
        <f t="shared" si="250"/>
        <v>#N/A</v>
      </c>
      <c r="M80" s="162" t="e">
        <f t="shared" si="251"/>
        <v>#N/A</v>
      </c>
      <c r="N80" s="162" t="e">
        <f t="shared" si="252"/>
        <v>#N/A</v>
      </c>
      <c r="O80" s="162" t="e">
        <f t="shared" si="253"/>
        <v>#N/A</v>
      </c>
      <c r="P80" s="162" t="e">
        <f t="shared" si="254"/>
        <v>#N/A</v>
      </c>
      <c r="Q80" s="162" t="e">
        <f t="shared" si="255"/>
        <v>#N/A</v>
      </c>
      <c r="R80" s="162" t="e">
        <f t="shared" si="256"/>
        <v>#N/A</v>
      </c>
      <c r="S80" s="162" t="str">
        <f t="shared" si="257"/>
        <v xml:space="preserve"> </v>
      </c>
      <c r="T80" s="162" t="str">
        <f t="shared" si="258"/>
        <v xml:space="preserve"> </v>
      </c>
      <c r="U80" s="162" t="str">
        <f t="shared" si="259"/>
        <v xml:space="preserve"> </v>
      </c>
      <c r="V80" s="172" t="str">
        <f t="shared" si="260"/>
        <v xml:space="preserve"> </v>
      </c>
      <c r="W80" s="185"/>
      <c r="X80" s="178" t="e">
        <f t="shared" si="261"/>
        <v>#N/A</v>
      </c>
      <c r="Y80" s="162" t="e">
        <f t="shared" si="262"/>
        <v>#N/A</v>
      </c>
      <c r="Z80" s="162" t="e">
        <f t="shared" si="263"/>
        <v>#N/A</v>
      </c>
      <c r="AA80" s="162" t="e">
        <f t="shared" si="264"/>
        <v>#N/A</v>
      </c>
      <c r="AB80" s="162" t="e">
        <f t="shared" si="265"/>
        <v>#N/A</v>
      </c>
      <c r="AC80" s="162" t="e">
        <f t="shared" si="266"/>
        <v>#N/A</v>
      </c>
      <c r="AD80" s="162" t="e">
        <f t="shared" si="267"/>
        <v>#N/A</v>
      </c>
      <c r="AE80" s="162" t="e">
        <f t="shared" si="268"/>
        <v>#N/A</v>
      </c>
      <c r="AF80" s="162" t="str">
        <f t="shared" si="269"/>
        <v xml:space="preserve"> </v>
      </c>
      <c r="AG80" s="162" t="str">
        <f t="shared" si="270"/>
        <v xml:space="preserve"> </v>
      </c>
      <c r="AH80" s="162" t="str">
        <f t="shared" si="271"/>
        <v xml:space="preserve"> </v>
      </c>
      <c r="AI80" s="172" t="str">
        <f t="shared" si="272"/>
        <v xml:space="preserve"> </v>
      </c>
      <c r="AJ80" s="185"/>
      <c r="AK80" s="160">
        <v>6187</v>
      </c>
      <c r="AL80" s="195" t="s">
        <v>17</v>
      </c>
      <c r="AM80" s="178" t="e">
        <f t="shared" si="273"/>
        <v>#N/A</v>
      </c>
      <c r="AN80" s="162" t="e">
        <f t="shared" si="274"/>
        <v>#N/A</v>
      </c>
      <c r="AO80" s="162" t="e">
        <f t="shared" si="275"/>
        <v>#N/A</v>
      </c>
      <c r="AP80" s="162" t="e">
        <f t="shared" si="276"/>
        <v>#N/A</v>
      </c>
      <c r="AQ80" s="162" t="e">
        <f t="shared" si="277"/>
        <v>#N/A</v>
      </c>
      <c r="AR80" s="162" t="e">
        <f t="shared" si="278"/>
        <v>#N/A</v>
      </c>
      <c r="AS80" s="162" t="e">
        <f t="shared" si="279"/>
        <v>#N/A</v>
      </c>
      <c r="AT80" s="162" t="e">
        <f t="shared" si="280"/>
        <v>#N/A</v>
      </c>
      <c r="AU80" s="162" t="str">
        <f t="shared" si="281"/>
        <v xml:space="preserve"> </v>
      </c>
      <c r="AV80" s="162" t="str">
        <f t="shared" si="282"/>
        <v xml:space="preserve"> </v>
      </c>
      <c r="AW80" s="162" t="str">
        <f t="shared" si="283"/>
        <v xml:space="preserve"> </v>
      </c>
      <c r="AX80" s="172" t="str">
        <f t="shared" si="284"/>
        <v xml:space="preserve"> </v>
      </c>
      <c r="AY80" s="185"/>
      <c r="AZ80" s="178" t="e">
        <f t="shared" si="285"/>
        <v>#N/A</v>
      </c>
      <c r="BA80" s="162" t="e">
        <f t="shared" si="286"/>
        <v>#N/A</v>
      </c>
      <c r="BB80" s="162" t="e">
        <f t="shared" si="287"/>
        <v>#N/A</v>
      </c>
      <c r="BC80" s="162" t="e">
        <f t="shared" si="288"/>
        <v>#N/A</v>
      </c>
      <c r="BD80" s="162" t="e">
        <f t="shared" si="289"/>
        <v>#N/A</v>
      </c>
      <c r="BE80" s="162" t="e">
        <f t="shared" si="290"/>
        <v>#N/A</v>
      </c>
      <c r="BF80" s="162" t="e">
        <f t="shared" si="291"/>
        <v>#N/A</v>
      </c>
      <c r="BG80" s="162" t="e">
        <f t="shared" si="292"/>
        <v>#N/A</v>
      </c>
      <c r="BH80" s="162" t="str">
        <f t="shared" si="293"/>
        <v xml:space="preserve"> </v>
      </c>
      <c r="BI80" s="162" t="str">
        <f t="shared" si="294"/>
        <v xml:space="preserve"> </v>
      </c>
      <c r="BJ80" s="162" t="str">
        <f t="shared" si="295"/>
        <v xml:space="preserve"> </v>
      </c>
      <c r="BK80" s="172" t="str">
        <f t="shared" si="296"/>
        <v xml:space="preserve"> </v>
      </c>
      <c r="BL80" s="185"/>
      <c r="BM80" s="160">
        <v>6187</v>
      </c>
      <c r="BN80" s="195" t="s">
        <v>17</v>
      </c>
      <c r="BO80" s="178" t="e">
        <f t="shared" si="297"/>
        <v>#N/A</v>
      </c>
      <c r="BP80" s="162" t="e">
        <f t="shared" si="298"/>
        <v>#N/A</v>
      </c>
      <c r="BQ80" s="162" t="e">
        <f t="shared" si="299"/>
        <v>#N/A</v>
      </c>
      <c r="BR80" s="162" t="e">
        <f t="shared" si="300"/>
        <v>#N/A</v>
      </c>
      <c r="BS80" s="162" t="e">
        <f t="shared" si="301"/>
        <v>#N/A</v>
      </c>
      <c r="BT80" s="162" t="e">
        <f t="shared" si="302"/>
        <v>#N/A</v>
      </c>
      <c r="BU80" s="162" t="e">
        <f t="shared" si="303"/>
        <v>#N/A</v>
      </c>
      <c r="BV80" s="162" t="e">
        <f t="shared" si="304"/>
        <v>#N/A</v>
      </c>
      <c r="BW80" s="162" t="str">
        <f t="shared" si="305"/>
        <v xml:space="preserve"> </v>
      </c>
      <c r="BX80" s="162" t="str">
        <f t="shared" si="306"/>
        <v xml:space="preserve"> </v>
      </c>
      <c r="BY80" s="162" t="str">
        <f t="shared" si="307"/>
        <v xml:space="preserve"> </v>
      </c>
      <c r="BZ80" s="172" t="str">
        <f t="shared" si="308"/>
        <v xml:space="preserve"> </v>
      </c>
      <c r="CA80" s="189"/>
    </row>
    <row r="81" spans="1:79" ht="15.75" x14ac:dyDescent="0.25">
      <c r="A81" s="199">
        <f t="shared" si="242"/>
        <v>7088</v>
      </c>
      <c r="B81" s="199" t="str">
        <f t="shared" si="243"/>
        <v>NGSA</v>
      </c>
      <c r="C81" s="56" t="str">
        <f t="shared" si="244"/>
        <v xml:space="preserve"> </v>
      </c>
      <c r="D81" s="53" t="str">
        <f t="shared" si="245"/>
        <v xml:space="preserve"> </v>
      </c>
      <c r="E81" s="39" t="str">
        <f t="shared" si="246"/>
        <v xml:space="preserve"> </v>
      </c>
      <c r="F81" s="39" t="str">
        <f t="shared" si="247"/>
        <v xml:space="preserve"> </v>
      </c>
      <c r="G81" s="210" t="str">
        <f t="shared" si="248"/>
        <v xml:space="preserve"> </v>
      </c>
      <c r="I81" s="160">
        <v>7088</v>
      </c>
      <c r="J81" s="195" t="s">
        <v>17</v>
      </c>
      <c r="K81" s="162" t="str">
        <f t="shared" si="249"/>
        <v xml:space="preserve"> </v>
      </c>
      <c r="L81" s="162" t="str">
        <f t="shared" si="250"/>
        <v xml:space="preserve"> </v>
      </c>
      <c r="M81" s="162" t="str">
        <f t="shared" si="251"/>
        <v xml:space="preserve"> </v>
      </c>
      <c r="N81" s="162" t="str">
        <f t="shared" si="252"/>
        <v xml:space="preserve"> </v>
      </c>
      <c r="O81" s="162" t="str">
        <f t="shared" si="253"/>
        <v xml:space="preserve"> </v>
      </c>
      <c r="P81" s="162" t="str">
        <f t="shared" si="254"/>
        <v xml:space="preserve"> </v>
      </c>
      <c r="Q81" s="162" t="str">
        <f t="shared" si="255"/>
        <v xml:space="preserve"> </v>
      </c>
      <c r="R81" s="162" t="str">
        <f t="shared" si="256"/>
        <v xml:space="preserve"> </v>
      </c>
      <c r="S81" s="162" t="str">
        <f t="shared" si="257"/>
        <v xml:space="preserve"> </v>
      </c>
      <c r="T81" s="162" t="str">
        <f t="shared" si="258"/>
        <v xml:space="preserve"> </v>
      </c>
      <c r="U81" s="162" t="str">
        <f t="shared" si="259"/>
        <v xml:space="preserve"> </v>
      </c>
      <c r="V81" s="172" t="str">
        <f t="shared" si="260"/>
        <v xml:space="preserve"> </v>
      </c>
      <c r="W81" s="185"/>
      <c r="X81" s="178" t="str">
        <f t="shared" si="261"/>
        <v xml:space="preserve"> </v>
      </c>
      <c r="Y81" s="162" t="str">
        <f t="shared" si="262"/>
        <v xml:space="preserve"> </v>
      </c>
      <c r="Z81" s="162" t="str">
        <f t="shared" si="263"/>
        <v xml:space="preserve"> </v>
      </c>
      <c r="AA81" s="162" t="str">
        <f t="shared" si="264"/>
        <v xml:space="preserve"> </v>
      </c>
      <c r="AB81" s="162" t="str">
        <f t="shared" si="265"/>
        <v xml:space="preserve"> </v>
      </c>
      <c r="AC81" s="162" t="str">
        <f t="shared" si="266"/>
        <v xml:space="preserve"> </v>
      </c>
      <c r="AD81" s="162" t="str">
        <f t="shared" si="267"/>
        <v xml:space="preserve"> </v>
      </c>
      <c r="AE81" s="162" t="str">
        <f t="shared" si="268"/>
        <v xml:space="preserve"> </v>
      </c>
      <c r="AF81" s="162" t="str">
        <f t="shared" si="269"/>
        <v xml:space="preserve"> </v>
      </c>
      <c r="AG81" s="162" t="str">
        <f t="shared" si="270"/>
        <v xml:space="preserve"> </v>
      </c>
      <c r="AH81" s="162" t="str">
        <f t="shared" si="271"/>
        <v xml:space="preserve"> </v>
      </c>
      <c r="AI81" s="172" t="str">
        <f t="shared" si="272"/>
        <v xml:space="preserve"> </v>
      </c>
      <c r="AJ81" s="185"/>
      <c r="AK81" s="160">
        <v>7088</v>
      </c>
      <c r="AL81" s="195" t="s">
        <v>17</v>
      </c>
      <c r="AM81" s="178" t="str">
        <f t="shared" si="273"/>
        <v xml:space="preserve"> </v>
      </c>
      <c r="AN81" s="162" t="str">
        <f t="shared" si="274"/>
        <v xml:space="preserve"> </v>
      </c>
      <c r="AO81" s="162" t="str">
        <f t="shared" si="275"/>
        <v xml:space="preserve"> </v>
      </c>
      <c r="AP81" s="162" t="str">
        <f t="shared" si="276"/>
        <v xml:space="preserve"> </v>
      </c>
      <c r="AQ81" s="162" t="str">
        <f t="shared" si="277"/>
        <v xml:space="preserve"> </v>
      </c>
      <c r="AR81" s="162" t="str">
        <f t="shared" si="278"/>
        <v xml:space="preserve"> </v>
      </c>
      <c r="AS81" s="162" t="str">
        <f t="shared" si="279"/>
        <v xml:space="preserve"> </v>
      </c>
      <c r="AT81" s="162" t="str">
        <f t="shared" si="280"/>
        <v xml:space="preserve"> </v>
      </c>
      <c r="AU81" s="162" t="str">
        <f t="shared" si="281"/>
        <v xml:space="preserve"> </v>
      </c>
      <c r="AV81" s="162" t="str">
        <f t="shared" si="282"/>
        <v xml:space="preserve"> </v>
      </c>
      <c r="AW81" s="162" t="str">
        <f t="shared" si="283"/>
        <v xml:space="preserve"> </v>
      </c>
      <c r="AX81" s="172" t="str">
        <f t="shared" si="284"/>
        <v xml:space="preserve"> </v>
      </c>
      <c r="AY81" s="185"/>
      <c r="AZ81" s="178" t="str">
        <f t="shared" si="285"/>
        <v xml:space="preserve"> </v>
      </c>
      <c r="BA81" s="162" t="str">
        <f t="shared" si="286"/>
        <v xml:space="preserve"> </v>
      </c>
      <c r="BB81" s="162" t="str">
        <f t="shared" si="287"/>
        <v xml:space="preserve"> </v>
      </c>
      <c r="BC81" s="162" t="str">
        <f t="shared" si="288"/>
        <v xml:space="preserve"> </v>
      </c>
      <c r="BD81" s="162" t="str">
        <f t="shared" si="289"/>
        <v xml:space="preserve"> </v>
      </c>
      <c r="BE81" s="162" t="str">
        <f t="shared" si="290"/>
        <v xml:space="preserve"> </v>
      </c>
      <c r="BF81" s="162" t="str">
        <f t="shared" si="291"/>
        <v xml:space="preserve"> </v>
      </c>
      <c r="BG81" s="162" t="str">
        <f t="shared" si="292"/>
        <v xml:space="preserve"> </v>
      </c>
      <c r="BH81" s="162" t="str">
        <f t="shared" si="293"/>
        <v xml:space="preserve"> </v>
      </c>
      <c r="BI81" s="162" t="str">
        <f t="shared" si="294"/>
        <v xml:space="preserve"> </v>
      </c>
      <c r="BJ81" s="162" t="str">
        <f t="shared" si="295"/>
        <v xml:space="preserve"> </v>
      </c>
      <c r="BK81" s="172" t="str">
        <f t="shared" si="296"/>
        <v xml:space="preserve"> </v>
      </c>
      <c r="BL81" s="185"/>
      <c r="BM81" s="160">
        <v>7088</v>
      </c>
      <c r="BN81" s="195" t="s">
        <v>17</v>
      </c>
      <c r="BO81" s="178" t="str">
        <f t="shared" si="297"/>
        <v xml:space="preserve"> </v>
      </c>
      <c r="BP81" s="162" t="str">
        <f t="shared" si="298"/>
        <v xml:space="preserve"> </v>
      </c>
      <c r="BQ81" s="162" t="str">
        <f t="shared" si="299"/>
        <v xml:space="preserve"> </v>
      </c>
      <c r="BR81" s="162" t="str">
        <f t="shared" si="300"/>
        <v xml:space="preserve"> </v>
      </c>
      <c r="BS81" s="162" t="str">
        <f t="shared" si="301"/>
        <v xml:space="preserve"> </v>
      </c>
      <c r="BT81" s="162" t="str">
        <f t="shared" si="302"/>
        <v xml:space="preserve"> </v>
      </c>
      <c r="BU81" s="162" t="str">
        <f t="shared" si="303"/>
        <v xml:space="preserve"> </v>
      </c>
      <c r="BV81" s="162" t="str">
        <f t="shared" si="304"/>
        <v xml:space="preserve"> </v>
      </c>
      <c r="BW81" s="162" t="str">
        <f t="shared" si="305"/>
        <v xml:space="preserve"> </v>
      </c>
      <c r="BX81" s="162" t="str">
        <f t="shared" si="306"/>
        <v xml:space="preserve"> </v>
      </c>
      <c r="BY81" s="162" t="str">
        <f t="shared" si="307"/>
        <v xml:space="preserve"> </v>
      </c>
      <c r="BZ81" s="172" t="str">
        <f t="shared" si="308"/>
        <v xml:space="preserve"> </v>
      </c>
      <c r="CA81" s="189"/>
    </row>
    <row r="82" spans="1:79" ht="15.75" x14ac:dyDescent="0.25">
      <c r="A82" s="199">
        <f t="shared" si="242"/>
        <v>7602</v>
      </c>
      <c r="B82" s="199" t="str">
        <f t="shared" si="243"/>
        <v>NGSA</v>
      </c>
      <c r="C82" s="56">
        <f t="shared" si="244"/>
        <v>3</v>
      </c>
      <c r="D82" s="53">
        <f t="shared" si="245"/>
        <v>2</v>
      </c>
      <c r="E82" s="39">
        <f t="shared" si="246"/>
        <v>3</v>
      </c>
      <c r="F82" s="39">
        <f t="shared" si="247"/>
        <v>2</v>
      </c>
      <c r="G82" s="210" t="str">
        <f t="shared" si="248"/>
        <v xml:space="preserve"> </v>
      </c>
      <c r="I82" s="160">
        <v>7602</v>
      </c>
      <c r="J82" s="195" t="s">
        <v>17</v>
      </c>
      <c r="K82" s="162" t="str">
        <f t="shared" si="249"/>
        <v xml:space="preserve"> </v>
      </c>
      <c r="L82" s="162" t="str">
        <f t="shared" si="250"/>
        <v xml:space="preserve"> </v>
      </c>
      <c r="M82" s="162" t="str">
        <f t="shared" si="251"/>
        <v xml:space="preserve"> </v>
      </c>
      <c r="N82" s="162" t="str">
        <f t="shared" si="252"/>
        <v xml:space="preserve"> </v>
      </c>
      <c r="O82" s="162" t="str">
        <f t="shared" si="253"/>
        <v>X</v>
      </c>
      <c r="P82" s="162" t="str">
        <f t="shared" si="254"/>
        <v>X</v>
      </c>
      <c r="Q82" s="162" t="str">
        <f t="shared" si="255"/>
        <v xml:space="preserve"> </v>
      </c>
      <c r="R82" s="162" t="str">
        <f t="shared" si="256"/>
        <v xml:space="preserve"> </v>
      </c>
      <c r="S82" s="162" t="str">
        <f t="shared" si="257"/>
        <v xml:space="preserve"> </v>
      </c>
      <c r="T82" s="162" t="str">
        <f t="shared" si="258"/>
        <v>X</v>
      </c>
      <c r="U82" s="162" t="str">
        <f t="shared" si="259"/>
        <v xml:space="preserve"> </v>
      </c>
      <c r="V82" s="172">
        <f t="shared" si="260"/>
        <v>3</v>
      </c>
      <c r="W82" s="185"/>
      <c r="X82" s="178" t="str">
        <f t="shared" si="261"/>
        <v xml:space="preserve"> </v>
      </c>
      <c r="Y82" s="162" t="str">
        <f t="shared" si="262"/>
        <v xml:space="preserve"> </v>
      </c>
      <c r="Z82" s="162" t="str">
        <f t="shared" si="263"/>
        <v xml:space="preserve"> </v>
      </c>
      <c r="AA82" s="162" t="str">
        <f t="shared" si="264"/>
        <v xml:space="preserve"> </v>
      </c>
      <c r="AB82" s="162" t="str">
        <f t="shared" si="265"/>
        <v>X</v>
      </c>
      <c r="AC82" s="162" t="str">
        <f t="shared" si="266"/>
        <v>X</v>
      </c>
      <c r="AD82" s="162" t="str">
        <f t="shared" si="267"/>
        <v xml:space="preserve"> </v>
      </c>
      <c r="AE82" s="162" t="str">
        <f t="shared" si="268"/>
        <v xml:space="preserve"> </v>
      </c>
      <c r="AF82" s="162" t="str">
        <f t="shared" si="269"/>
        <v xml:space="preserve"> </v>
      </c>
      <c r="AG82" s="162" t="str">
        <f t="shared" si="270"/>
        <v xml:space="preserve"> </v>
      </c>
      <c r="AH82" s="162" t="str">
        <f t="shared" si="271"/>
        <v xml:space="preserve"> </v>
      </c>
      <c r="AI82" s="172">
        <f t="shared" si="272"/>
        <v>2</v>
      </c>
      <c r="AJ82" s="185"/>
      <c r="AK82" s="160">
        <v>7602</v>
      </c>
      <c r="AL82" s="195" t="s">
        <v>17</v>
      </c>
      <c r="AM82" s="178" t="str">
        <f t="shared" si="273"/>
        <v xml:space="preserve"> </v>
      </c>
      <c r="AN82" s="162" t="str">
        <f t="shared" si="274"/>
        <v xml:space="preserve"> </v>
      </c>
      <c r="AO82" s="162" t="str">
        <f t="shared" si="275"/>
        <v xml:space="preserve"> </v>
      </c>
      <c r="AP82" s="162" t="str">
        <f t="shared" si="276"/>
        <v xml:space="preserve"> </v>
      </c>
      <c r="AQ82" s="162" t="str">
        <f t="shared" si="277"/>
        <v xml:space="preserve"> </v>
      </c>
      <c r="AR82" s="162" t="str">
        <f t="shared" si="278"/>
        <v xml:space="preserve"> </v>
      </c>
      <c r="AS82" s="162" t="str">
        <f t="shared" si="279"/>
        <v xml:space="preserve"> </v>
      </c>
      <c r="AT82" s="162" t="str">
        <f t="shared" si="280"/>
        <v xml:space="preserve"> </v>
      </c>
      <c r="AU82" s="162" t="str">
        <f t="shared" si="281"/>
        <v xml:space="preserve"> </v>
      </c>
      <c r="AV82" s="162" t="str">
        <f t="shared" si="282"/>
        <v xml:space="preserve"> </v>
      </c>
      <c r="AW82" s="162" t="str">
        <f t="shared" si="283"/>
        <v xml:space="preserve"> </v>
      </c>
      <c r="AX82" s="172" t="str">
        <f t="shared" si="284"/>
        <v xml:space="preserve"> </v>
      </c>
      <c r="AY82" s="185"/>
      <c r="AZ82" s="178" t="str">
        <f t="shared" si="285"/>
        <v xml:space="preserve"> </v>
      </c>
      <c r="BA82" s="162" t="str">
        <f t="shared" si="286"/>
        <v xml:space="preserve"> </v>
      </c>
      <c r="BB82" s="162" t="str">
        <f t="shared" si="287"/>
        <v xml:space="preserve"> </v>
      </c>
      <c r="BC82" s="162" t="str">
        <f t="shared" si="288"/>
        <v xml:space="preserve"> </v>
      </c>
      <c r="BD82" s="162" t="str">
        <f t="shared" si="289"/>
        <v>X</v>
      </c>
      <c r="BE82" s="162" t="str">
        <f t="shared" si="290"/>
        <v>X</v>
      </c>
      <c r="BF82" s="162" t="str">
        <f t="shared" si="291"/>
        <v xml:space="preserve"> </v>
      </c>
      <c r="BG82" s="162" t="str">
        <f t="shared" si="292"/>
        <v xml:space="preserve"> </v>
      </c>
      <c r="BH82" s="162" t="str">
        <f t="shared" si="293"/>
        <v xml:space="preserve"> </v>
      </c>
      <c r="BI82" s="162" t="str">
        <f t="shared" si="294"/>
        <v>X</v>
      </c>
      <c r="BJ82" s="162" t="str">
        <f t="shared" si="295"/>
        <v xml:space="preserve"> </v>
      </c>
      <c r="BK82" s="172">
        <f t="shared" si="296"/>
        <v>3</v>
      </c>
      <c r="BL82" s="185"/>
      <c r="BM82" s="160">
        <v>7602</v>
      </c>
      <c r="BN82" s="195" t="s">
        <v>17</v>
      </c>
      <c r="BO82" s="178" t="str">
        <f t="shared" si="297"/>
        <v xml:space="preserve"> </v>
      </c>
      <c r="BP82" s="162" t="str">
        <f t="shared" si="298"/>
        <v xml:space="preserve"> </v>
      </c>
      <c r="BQ82" s="162" t="str">
        <f t="shared" si="299"/>
        <v xml:space="preserve"> </v>
      </c>
      <c r="BR82" s="162" t="str">
        <f t="shared" si="300"/>
        <v xml:space="preserve"> </v>
      </c>
      <c r="BS82" s="162" t="str">
        <f t="shared" si="301"/>
        <v>X</v>
      </c>
      <c r="BT82" s="162" t="str">
        <f t="shared" si="302"/>
        <v>X</v>
      </c>
      <c r="BU82" s="162" t="str">
        <f t="shared" si="303"/>
        <v xml:space="preserve"> </v>
      </c>
      <c r="BV82" s="162" t="str">
        <f t="shared" si="304"/>
        <v xml:space="preserve"> </v>
      </c>
      <c r="BW82" s="162" t="str">
        <f t="shared" si="305"/>
        <v xml:space="preserve"> </v>
      </c>
      <c r="BX82" s="162" t="str">
        <f t="shared" si="306"/>
        <v xml:space="preserve"> </v>
      </c>
      <c r="BY82" s="162" t="str">
        <f t="shared" si="307"/>
        <v xml:space="preserve"> </v>
      </c>
      <c r="BZ82" s="172">
        <f t="shared" si="308"/>
        <v>2</v>
      </c>
      <c r="CA82" s="189"/>
    </row>
    <row r="83" spans="1:79" ht="15.75" x14ac:dyDescent="0.25">
      <c r="A83" s="199">
        <f t="shared" si="242"/>
        <v>7604</v>
      </c>
      <c r="B83" s="199" t="str">
        <f t="shared" si="243"/>
        <v>NGSA</v>
      </c>
      <c r="C83" s="56">
        <f t="shared" si="244"/>
        <v>1</v>
      </c>
      <c r="D83" s="53">
        <f t="shared" si="245"/>
        <v>8</v>
      </c>
      <c r="E83" s="39">
        <f t="shared" si="246"/>
        <v>8</v>
      </c>
      <c r="F83" s="39">
        <f t="shared" si="247"/>
        <v>8</v>
      </c>
      <c r="G83" s="210">
        <f t="shared" si="248"/>
        <v>3</v>
      </c>
      <c r="I83" s="160">
        <v>7604</v>
      </c>
      <c r="J83" s="195" t="s">
        <v>17</v>
      </c>
      <c r="K83" s="162" t="str">
        <f t="shared" si="249"/>
        <v xml:space="preserve"> </v>
      </c>
      <c r="L83" s="162" t="str">
        <f t="shared" si="250"/>
        <v xml:space="preserve"> </v>
      </c>
      <c r="M83" s="162" t="str">
        <f t="shared" si="251"/>
        <v xml:space="preserve"> </v>
      </c>
      <c r="N83" s="162" t="str">
        <f t="shared" si="252"/>
        <v xml:space="preserve"> </v>
      </c>
      <c r="O83" s="162" t="str">
        <f t="shared" si="253"/>
        <v>X</v>
      </c>
      <c r="P83" s="162" t="str">
        <f t="shared" si="254"/>
        <v xml:space="preserve"> </v>
      </c>
      <c r="Q83" s="162" t="str">
        <f t="shared" si="255"/>
        <v xml:space="preserve"> </v>
      </c>
      <c r="R83" s="162" t="str">
        <f t="shared" si="256"/>
        <v xml:space="preserve"> </v>
      </c>
      <c r="S83" s="162" t="str">
        <f t="shared" si="257"/>
        <v xml:space="preserve"> </v>
      </c>
      <c r="T83" s="162" t="str">
        <f t="shared" si="258"/>
        <v xml:space="preserve"> </v>
      </c>
      <c r="U83" s="162" t="str">
        <f t="shared" si="259"/>
        <v xml:space="preserve"> </v>
      </c>
      <c r="V83" s="172">
        <f t="shared" si="260"/>
        <v>1</v>
      </c>
      <c r="W83" s="185"/>
      <c r="X83" s="178" t="str">
        <f t="shared" si="261"/>
        <v>X</v>
      </c>
      <c r="Y83" s="162" t="str">
        <f t="shared" si="262"/>
        <v xml:space="preserve"> </v>
      </c>
      <c r="Z83" s="162" t="str">
        <f t="shared" si="263"/>
        <v xml:space="preserve"> </v>
      </c>
      <c r="AA83" s="162" t="str">
        <f t="shared" si="264"/>
        <v xml:space="preserve"> </v>
      </c>
      <c r="AB83" s="162" t="str">
        <f t="shared" si="265"/>
        <v>X</v>
      </c>
      <c r="AC83" s="162" t="str">
        <f t="shared" si="266"/>
        <v>X</v>
      </c>
      <c r="AD83" s="162" t="str">
        <f t="shared" si="267"/>
        <v>X</v>
      </c>
      <c r="AE83" s="162" t="str">
        <f t="shared" si="268"/>
        <v>X</v>
      </c>
      <c r="AF83" s="162" t="str">
        <f t="shared" si="269"/>
        <v>X</v>
      </c>
      <c r="AG83" s="162" t="str">
        <f t="shared" si="270"/>
        <v>X</v>
      </c>
      <c r="AH83" s="162" t="str">
        <f t="shared" si="271"/>
        <v>X</v>
      </c>
      <c r="AI83" s="172">
        <f t="shared" si="272"/>
        <v>8</v>
      </c>
      <c r="AJ83" s="185"/>
      <c r="AK83" s="160">
        <v>7604</v>
      </c>
      <c r="AL83" s="195" t="s">
        <v>17</v>
      </c>
      <c r="AM83" s="178" t="str">
        <f t="shared" si="273"/>
        <v xml:space="preserve"> </v>
      </c>
      <c r="AN83" s="162" t="str">
        <f t="shared" si="274"/>
        <v>X</v>
      </c>
      <c r="AO83" s="162" t="str">
        <f t="shared" si="275"/>
        <v xml:space="preserve"> </v>
      </c>
      <c r="AP83" s="162" t="str">
        <f t="shared" si="276"/>
        <v>X</v>
      </c>
      <c r="AQ83" s="162" t="str">
        <f t="shared" si="277"/>
        <v xml:space="preserve"> </v>
      </c>
      <c r="AR83" s="162" t="str">
        <f t="shared" si="278"/>
        <v xml:space="preserve"> </v>
      </c>
      <c r="AS83" s="162" t="str">
        <f t="shared" si="279"/>
        <v xml:space="preserve"> </v>
      </c>
      <c r="AT83" s="162" t="str">
        <f t="shared" si="280"/>
        <v xml:space="preserve"> </v>
      </c>
      <c r="AU83" s="162" t="str">
        <f t="shared" si="281"/>
        <v>X</v>
      </c>
      <c r="AV83" s="162" t="str">
        <f t="shared" si="282"/>
        <v xml:space="preserve"> </v>
      </c>
      <c r="AW83" s="162" t="str">
        <f t="shared" si="283"/>
        <v xml:space="preserve"> </v>
      </c>
      <c r="AX83" s="172">
        <f t="shared" si="284"/>
        <v>3</v>
      </c>
      <c r="AY83" s="185"/>
      <c r="AZ83" s="178" t="str">
        <f t="shared" si="285"/>
        <v>X</v>
      </c>
      <c r="BA83" s="162" t="str">
        <f t="shared" si="286"/>
        <v xml:space="preserve"> </v>
      </c>
      <c r="BB83" s="162" t="str">
        <f t="shared" si="287"/>
        <v xml:space="preserve"> </v>
      </c>
      <c r="BC83" s="162" t="str">
        <f t="shared" si="288"/>
        <v xml:space="preserve"> </v>
      </c>
      <c r="BD83" s="162" t="str">
        <f t="shared" si="289"/>
        <v>X</v>
      </c>
      <c r="BE83" s="162" t="str">
        <f t="shared" si="290"/>
        <v>X</v>
      </c>
      <c r="BF83" s="162" t="str">
        <f t="shared" si="291"/>
        <v>X</v>
      </c>
      <c r="BG83" s="162" t="str">
        <f t="shared" si="292"/>
        <v>X</v>
      </c>
      <c r="BH83" s="162" t="str">
        <f t="shared" si="293"/>
        <v>X</v>
      </c>
      <c r="BI83" s="162" t="str">
        <f t="shared" si="294"/>
        <v>X</v>
      </c>
      <c r="BJ83" s="162" t="str">
        <f t="shared" si="295"/>
        <v>X</v>
      </c>
      <c r="BK83" s="172">
        <f t="shared" si="296"/>
        <v>8</v>
      </c>
      <c r="BL83" s="185"/>
      <c r="BM83" s="160">
        <v>7604</v>
      </c>
      <c r="BN83" s="195" t="s">
        <v>17</v>
      </c>
      <c r="BO83" s="178" t="str">
        <f t="shared" si="297"/>
        <v>X</v>
      </c>
      <c r="BP83" s="162" t="str">
        <f t="shared" si="298"/>
        <v xml:space="preserve"> </v>
      </c>
      <c r="BQ83" s="162" t="str">
        <f t="shared" si="299"/>
        <v xml:space="preserve"> </v>
      </c>
      <c r="BR83" s="162" t="str">
        <f t="shared" si="300"/>
        <v xml:space="preserve"> </v>
      </c>
      <c r="BS83" s="162" t="str">
        <f t="shared" si="301"/>
        <v>X</v>
      </c>
      <c r="BT83" s="162" t="str">
        <f t="shared" si="302"/>
        <v>X</v>
      </c>
      <c r="BU83" s="162" t="str">
        <f t="shared" si="303"/>
        <v>X</v>
      </c>
      <c r="BV83" s="162" t="str">
        <f t="shared" si="304"/>
        <v>X</v>
      </c>
      <c r="BW83" s="162" t="str">
        <f t="shared" si="305"/>
        <v>X</v>
      </c>
      <c r="BX83" s="162" t="str">
        <f t="shared" si="306"/>
        <v>X</v>
      </c>
      <c r="BY83" s="162" t="str">
        <f t="shared" si="307"/>
        <v>X</v>
      </c>
      <c r="BZ83" s="172">
        <f t="shared" si="308"/>
        <v>8</v>
      </c>
      <c r="CA83" s="189"/>
    </row>
    <row r="84" spans="1:79" ht="15.75" x14ac:dyDescent="0.25">
      <c r="A84" s="199">
        <f t="shared" si="242"/>
        <v>8576</v>
      </c>
      <c r="B84" s="199" t="str">
        <f t="shared" si="243"/>
        <v>NGSA</v>
      </c>
      <c r="C84" s="56" t="str">
        <f t="shared" si="244"/>
        <v xml:space="preserve"> </v>
      </c>
      <c r="D84" s="53" t="str">
        <f t="shared" si="245"/>
        <v xml:space="preserve"> </v>
      </c>
      <c r="E84" s="39" t="str">
        <f t="shared" si="246"/>
        <v xml:space="preserve"> </v>
      </c>
      <c r="F84" s="39" t="str">
        <f t="shared" si="247"/>
        <v xml:space="preserve"> </v>
      </c>
      <c r="G84" s="210" t="str">
        <f t="shared" si="248"/>
        <v xml:space="preserve"> </v>
      </c>
      <c r="I84" s="160">
        <v>8576</v>
      </c>
      <c r="J84" s="195" t="s">
        <v>17</v>
      </c>
      <c r="K84" s="162" t="str">
        <f t="shared" si="249"/>
        <v xml:space="preserve"> </v>
      </c>
      <c r="L84" s="162" t="str">
        <f t="shared" si="250"/>
        <v xml:space="preserve"> </v>
      </c>
      <c r="M84" s="162" t="str">
        <f t="shared" si="251"/>
        <v xml:space="preserve"> </v>
      </c>
      <c r="N84" s="162" t="str">
        <f t="shared" si="252"/>
        <v xml:space="preserve"> </v>
      </c>
      <c r="O84" s="162" t="str">
        <f t="shared" si="253"/>
        <v xml:space="preserve"> </v>
      </c>
      <c r="P84" s="162" t="str">
        <f t="shared" si="254"/>
        <v xml:space="preserve"> </v>
      </c>
      <c r="Q84" s="162" t="str">
        <f t="shared" si="255"/>
        <v xml:space="preserve"> </v>
      </c>
      <c r="R84" s="162" t="str">
        <f t="shared" si="256"/>
        <v xml:space="preserve"> </v>
      </c>
      <c r="S84" s="162" t="str">
        <f t="shared" si="257"/>
        <v xml:space="preserve"> </v>
      </c>
      <c r="T84" s="162" t="str">
        <f t="shared" si="258"/>
        <v xml:space="preserve"> </v>
      </c>
      <c r="U84" s="162" t="str">
        <f t="shared" si="259"/>
        <v xml:space="preserve"> </v>
      </c>
      <c r="V84" s="172" t="str">
        <f t="shared" si="260"/>
        <v xml:space="preserve"> </v>
      </c>
      <c r="W84" s="185"/>
      <c r="X84" s="178" t="str">
        <f t="shared" si="261"/>
        <v xml:space="preserve"> </v>
      </c>
      <c r="Y84" s="162" t="str">
        <f t="shared" si="262"/>
        <v xml:space="preserve"> </v>
      </c>
      <c r="Z84" s="162" t="str">
        <f t="shared" si="263"/>
        <v xml:space="preserve"> </v>
      </c>
      <c r="AA84" s="162" t="str">
        <f t="shared" si="264"/>
        <v xml:space="preserve"> </v>
      </c>
      <c r="AB84" s="162" t="str">
        <f t="shared" si="265"/>
        <v xml:space="preserve"> </v>
      </c>
      <c r="AC84" s="162" t="str">
        <f t="shared" si="266"/>
        <v xml:space="preserve"> </v>
      </c>
      <c r="AD84" s="162" t="str">
        <f t="shared" si="267"/>
        <v xml:space="preserve"> </v>
      </c>
      <c r="AE84" s="162" t="str">
        <f t="shared" si="268"/>
        <v xml:space="preserve"> </v>
      </c>
      <c r="AF84" s="162" t="str">
        <f t="shared" si="269"/>
        <v xml:space="preserve"> </v>
      </c>
      <c r="AG84" s="162" t="str">
        <f t="shared" si="270"/>
        <v xml:space="preserve"> </v>
      </c>
      <c r="AH84" s="162" t="str">
        <f t="shared" si="271"/>
        <v xml:space="preserve"> </v>
      </c>
      <c r="AI84" s="172" t="str">
        <f t="shared" si="272"/>
        <v xml:space="preserve"> </v>
      </c>
      <c r="AJ84" s="185"/>
      <c r="AK84" s="160">
        <v>8576</v>
      </c>
      <c r="AL84" s="195" t="s">
        <v>17</v>
      </c>
      <c r="AM84" s="178" t="str">
        <f t="shared" si="273"/>
        <v xml:space="preserve"> </v>
      </c>
      <c r="AN84" s="162" t="str">
        <f t="shared" si="274"/>
        <v xml:space="preserve"> </v>
      </c>
      <c r="AO84" s="162" t="str">
        <f t="shared" si="275"/>
        <v xml:space="preserve"> </v>
      </c>
      <c r="AP84" s="162" t="str">
        <f t="shared" si="276"/>
        <v xml:space="preserve"> </v>
      </c>
      <c r="AQ84" s="162" t="str">
        <f t="shared" si="277"/>
        <v xml:space="preserve"> </v>
      </c>
      <c r="AR84" s="162" t="str">
        <f t="shared" si="278"/>
        <v xml:space="preserve"> </v>
      </c>
      <c r="AS84" s="162" t="str">
        <f t="shared" si="279"/>
        <v xml:space="preserve"> </v>
      </c>
      <c r="AT84" s="162" t="str">
        <f t="shared" si="280"/>
        <v xml:space="preserve"> </v>
      </c>
      <c r="AU84" s="162" t="str">
        <f t="shared" si="281"/>
        <v xml:space="preserve"> </v>
      </c>
      <c r="AV84" s="162" t="str">
        <f t="shared" si="282"/>
        <v xml:space="preserve"> </v>
      </c>
      <c r="AW84" s="162" t="str">
        <f t="shared" si="283"/>
        <v xml:space="preserve"> </v>
      </c>
      <c r="AX84" s="172" t="str">
        <f t="shared" si="284"/>
        <v xml:space="preserve"> </v>
      </c>
      <c r="AY84" s="185"/>
      <c r="AZ84" s="178" t="str">
        <f t="shared" si="285"/>
        <v xml:space="preserve"> </v>
      </c>
      <c r="BA84" s="162" t="str">
        <f t="shared" si="286"/>
        <v xml:space="preserve"> </v>
      </c>
      <c r="BB84" s="162" t="str">
        <f t="shared" si="287"/>
        <v xml:space="preserve"> </v>
      </c>
      <c r="BC84" s="162" t="str">
        <f t="shared" si="288"/>
        <v xml:space="preserve"> </v>
      </c>
      <c r="BD84" s="162" t="str">
        <f t="shared" si="289"/>
        <v xml:space="preserve"> </v>
      </c>
      <c r="BE84" s="162" t="str">
        <f t="shared" si="290"/>
        <v xml:space="preserve"> </v>
      </c>
      <c r="BF84" s="162" t="str">
        <f t="shared" si="291"/>
        <v xml:space="preserve"> </v>
      </c>
      <c r="BG84" s="162" t="str">
        <f t="shared" si="292"/>
        <v xml:space="preserve"> </v>
      </c>
      <c r="BH84" s="162" t="str">
        <f t="shared" si="293"/>
        <v xml:space="preserve"> </v>
      </c>
      <c r="BI84" s="162" t="str">
        <f t="shared" si="294"/>
        <v xml:space="preserve"> </v>
      </c>
      <c r="BJ84" s="162" t="str">
        <f t="shared" si="295"/>
        <v xml:space="preserve"> </v>
      </c>
      <c r="BK84" s="172" t="str">
        <f t="shared" si="296"/>
        <v xml:space="preserve"> </v>
      </c>
      <c r="BL84" s="185"/>
      <c r="BM84" s="160">
        <v>8576</v>
      </c>
      <c r="BN84" s="195" t="s">
        <v>17</v>
      </c>
      <c r="BO84" s="178" t="str">
        <f t="shared" si="297"/>
        <v xml:space="preserve"> </v>
      </c>
      <c r="BP84" s="162" t="str">
        <f t="shared" si="298"/>
        <v xml:space="preserve"> </v>
      </c>
      <c r="BQ84" s="162" t="str">
        <f t="shared" si="299"/>
        <v xml:space="preserve"> </v>
      </c>
      <c r="BR84" s="162" t="str">
        <f t="shared" si="300"/>
        <v xml:space="preserve"> </v>
      </c>
      <c r="BS84" s="162" t="str">
        <f t="shared" si="301"/>
        <v xml:space="preserve"> </v>
      </c>
      <c r="BT84" s="162" t="str">
        <f t="shared" si="302"/>
        <v xml:space="preserve"> </v>
      </c>
      <c r="BU84" s="162" t="str">
        <f t="shared" si="303"/>
        <v xml:space="preserve"> </v>
      </c>
      <c r="BV84" s="162" t="str">
        <f t="shared" si="304"/>
        <v xml:space="preserve"> </v>
      </c>
      <c r="BW84" s="162" t="str">
        <f t="shared" si="305"/>
        <v xml:space="preserve"> </v>
      </c>
      <c r="BX84" s="162" t="str">
        <f t="shared" si="306"/>
        <v xml:space="preserve"> </v>
      </c>
      <c r="BY84" s="162" t="str">
        <f t="shared" si="307"/>
        <v xml:space="preserve"> </v>
      </c>
      <c r="BZ84" s="172" t="str">
        <f t="shared" si="308"/>
        <v xml:space="preserve"> </v>
      </c>
      <c r="CA84" s="189"/>
    </row>
    <row r="85" spans="1:79" ht="15.75" x14ac:dyDescent="0.25">
      <c r="A85" s="199">
        <f t="shared" si="242"/>
        <v>8577</v>
      </c>
      <c r="B85" s="199" t="str">
        <f t="shared" si="243"/>
        <v>NGSA</v>
      </c>
      <c r="C85" s="56" t="str">
        <f t="shared" si="244"/>
        <v xml:space="preserve"> </v>
      </c>
      <c r="D85" s="53" t="str">
        <f t="shared" si="245"/>
        <v xml:space="preserve"> </v>
      </c>
      <c r="E85" s="39" t="str">
        <f t="shared" si="246"/>
        <v xml:space="preserve"> </v>
      </c>
      <c r="F85" s="39" t="str">
        <f t="shared" si="247"/>
        <v xml:space="preserve"> </v>
      </c>
      <c r="G85" s="210" t="str">
        <f t="shared" si="248"/>
        <v xml:space="preserve"> </v>
      </c>
      <c r="I85" s="160">
        <v>8577</v>
      </c>
      <c r="J85" s="195" t="s">
        <v>17</v>
      </c>
      <c r="K85" s="162" t="str">
        <f t="shared" si="249"/>
        <v xml:space="preserve"> </v>
      </c>
      <c r="L85" s="162" t="str">
        <f t="shared" si="250"/>
        <v xml:space="preserve"> </v>
      </c>
      <c r="M85" s="162" t="str">
        <f t="shared" si="251"/>
        <v xml:space="preserve"> </v>
      </c>
      <c r="N85" s="162" t="str">
        <f t="shared" si="252"/>
        <v xml:space="preserve"> </v>
      </c>
      <c r="O85" s="162" t="str">
        <f t="shared" si="253"/>
        <v xml:space="preserve"> </v>
      </c>
      <c r="P85" s="162" t="str">
        <f t="shared" si="254"/>
        <v xml:space="preserve"> </v>
      </c>
      <c r="Q85" s="162" t="str">
        <f t="shared" si="255"/>
        <v xml:space="preserve"> </v>
      </c>
      <c r="R85" s="162" t="str">
        <f t="shared" si="256"/>
        <v xml:space="preserve"> </v>
      </c>
      <c r="S85" s="162" t="str">
        <f t="shared" si="257"/>
        <v xml:space="preserve"> </v>
      </c>
      <c r="T85" s="162" t="str">
        <f t="shared" si="258"/>
        <v xml:space="preserve"> </v>
      </c>
      <c r="U85" s="162" t="str">
        <f t="shared" si="259"/>
        <v xml:space="preserve"> </v>
      </c>
      <c r="V85" s="172" t="str">
        <f t="shared" si="260"/>
        <v xml:space="preserve"> </v>
      </c>
      <c r="W85" s="185"/>
      <c r="X85" s="178" t="str">
        <f t="shared" si="261"/>
        <v xml:space="preserve"> </v>
      </c>
      <c r="Y85" s="162" t="str">
        <f t="shared" si="262"/>
        <v xml:space="preserve"> </v>
      </c>
      <c r="Z85" s="162" t="str">
        <f t="shared" si="263"/>
        <v xml:space="preserve"> </v>
      </c>
      <c r="AA85" s="162" t="str">
        <f t="shared" si="264"/>
        <v xml:space="preserve"> </v>
      </c>
      <c r="AB85" s="162" t="str">
        <f t="shared" si="265"/>
        <v xml:space="preserve"> </v>
      </c>
      <c r="AC85" s="162" t="str">
        <f t="shared" si="266"/>
        <v xml:space="preserve"> </v>
      </c>
      <c r="AD85" s="162" t="str">
        <f t="shared" si="267"/>
        <v xml:space="preserve"> </v>
      </c>
      <c r="AE85" s="162" t="str">
        <f t="shared" si="268"/>
        <v xml:space="preserve"> </v>
      </c>
      <c r="AF85" s="162" t="str">
        <f t="shared" si="269"/>
        <v xml:space="preserve"> </v>
      </c>
      <c r="AG85" s="162" t="str">
        <f t="shared" si="270"/>
        <v xml:space="preserve"> </v>
      </c>
      <c r="AH85" s="162" t="str">
        <f t="shared" si="271"/>
        <v xml:space="preserve"> </v>
      </c>
      <c r="AI85" s="172" t="str">
        <f t="shared" si="272"/>
        <v xml:space="preserve"> </v>
      </c>
      <c r="AJ85" s="185"/>
      <c r="AK85" s="160">
        <v>8577</v>
      </c>
      <c r="AL85" s="195" t="s">
        <v>17</v>
      </c>
      <c r="AM85" s="178" t="str">
        <f t="shared" si="273"/>
        <v xml:space="preserve"> </v>
      </c>
      <c r="AN85" s="162" t="str">
        <f t="shared" si="274"/>
        <v xml:space="preserve"> </v>
      </c>
      <c r="AO85" s="162" t="str">
        <f t="shared" si="275"/>
        <v xml:space="preserve"> </v>
      </c>
      <c r="AP85" s="162" t="str">
        <f t="shared" si="276"/>
        <v xml:space="preserve"> </v>
      </c>
      <c r="AQ85" s="162" t="str">
        <f t="shared" si="277"/>
        <v xml:space="preserve"> </v>
      </c>
      <c r="AR85" s="162" t="str">
        <f t="shared" si="278"/>
        <v xml:space="preserve"> </v>
      </c>
      <c r="AS85" s="162" t="str">
        <f t="shared" si="279"/>
        <v xml:space="preserve"> </v>
      </c>
      <c r="AT85" s="162" t="str">
        <f t="shared" si="280"/>
        <v xml:space="preserve"> </v>
      </c>
      <c r="AU85" s="162" t="str">
        <f t="shared" si="281"/>
        <v xml:space="preserve"> </v>
      </c>
      <c r="AV85" s="162" t="str">
        <f t="shared" si="282"/>
        <v xml:space="preserve"> </v>
      </c>
      <c r="AW85" s="162" t="str">
        <f t="shared" si="283"/>
        <v xml:space="preserve"> </v>
      </c>
      <c r="AX85" s="172" t="str">
        <f t="shared" si="284"/>
        <v xml:space="preserve"> </v>
      </c>
      <c r="AY85" s="185"/>
      <c r="AZ85" s="178" t="str">
        <f t="shared" si="285"/>
        <v xml:space="preserve"> </v>
      </c>
      <c r="BA85" s="162" t="str">
        <f t="shared" si="286"/>
        <v xml:space="preserve"> </v>
      </c>
      <c r="BB85" s="162" t="str">
        <f t="shared" si="287"/>
        <v xml:space="preserve"> </v>
      </c>
      <c r="BC85" s="162" t="str">
        <f t="shared" si="288"/>
        <v xml:space="preserve"> </v>
      </c>
      <c r="BD85" s="162" t="str">
        <f t="shared" si="289"/>
        <v xml:space="preserve"> </v>
      </c>
      <c r="BE85" s="162" t="str">
        <f t="shared" si="290"/>
        <v xml:space="preserve"> </v>
      </c>
      <c r="BF85" s="162" t="str">
        <f t="shared" si="291"/>
        <v xml:space="preserve"> </v>
      </c>
      <c r="BG85" s="162" t="str">
        <f t="shared" si="292"/>
        <v xml:space="preserve"> </v>
      </c>
      <c r="BH85" s="162" t="str">
        <f t="shared" si="293"/>
        <v xml:space="preserve"> </v>
      </c>
      <c r="BI85" s="162" t="str">
        <f t="shared" si="294"/>
        <v xml:space="preserve"> </v>
      </c>
      <c r="BJ85" s="162" t="str">
        <f t="shared" si="295"/>
        <v xml:space="preserve"> </v>
      </c>
      <c r="BK85" s="172" t="str">
        <f t="shared" si="296"/>
        <v xml:space="preserve"> </v>
      </c>
      <c r="BL85" s="185"/>
      <c r="BM85" s="160">
        <v>8577</v>
      </c>
      <c r="BN85" s="195" t="s">
        <v>17</v>
      </c>
      <c r="BO85" s="178" t="str">
        <f t="shared" si="297"/>
        <v xml:space="preserve"> </v>
      </c>
      <c r="BP85" s="162" t="str">
        <f t="shared" si="298"/>
        <v xml:space="preserve"> </v>
      </c>
      <c r="BQ85" s="162" t="str">
        <f t="shared" si="299"/>
        <v xml:space="preserve"> </v>
      </c>
      <c r="BR85" s="162" t="str">
        <f t="shared" si="300"/>
        <v xml:space="preserve"> </v>
      </c>
      <c r="BS85" s="162" t="str">
        <f t="shared" si="301"/>
        <v xml:space="preserve"> </v>
      </c>
      <c r="BT85" s="162" t="str">
        <f t="shared" si="302"/>
        <v xml:space="preserve"> </v>
      </c>
      <c r="BU85" s="162" t="str">
        <f t="shared" si="303"/>
        <v xml:space="preserve"> </v>
      </c>
      <c r="BV85" s="162" t="str">
        <f t="shared" si="304"/>
        <v xml:space="preserve"> </v>
      </c>
      <c r="BW85" s="162" t="str">
        <f t="shared" si="305"/>
        <v xml:space="preserve"> </v>
      </c>
      <c r="BX85" s="162" t="str">
        <f t="shared" si="306"/>
        <v xml:space="preserve"> </v>
      </c>
      <c r="BY85" s="162" t="str">
        <f t="shared" si="307"/>
        <v xml:space="preserve"> </v>
      </c>
      <c r="BZ85" s="172" t="str">
        <f t="shared" si="308"/>
        <v xml:space="preserve"> </v>
      </c>
      <c r="CA85" s="189"/>
    </row>
    <row r="86" spans="1:79" ht="15.75" x14ac:dyDescent="0.25">
      <c r="A86" s="199">
        <f t="shared" si="242"/>
        <v>8578</v>
      </c>
      <c r="B86" s="199" t="str">
        <f t="shared" si="243"/>
        <v>NGSA</v>
      </c>
      <c r="C86" s="56" t="str">
        <f t="shared" si="244"/>
        <v xml:space="preserve"> </v>
      </c>
      <c r="D86" s="53" t="str">
        <f t="shared" si="245"/>
        <v xml:space="preserve"> </v>
      </c>
      <c r="E86" s="39" t="str">
        <f t="shared" si="246"/>
        <v xml:space="preserve"> </v>
      </c>
      <c r="F86" s="39" t="str">
        <f t="shared" si="247"/>
        <v xml:space="preserve"> </v>
      </c>
      <c r="G86" s="210" t="str">
        <f t="shared" si="248"/>
        <v xml:space="preserve"> </v>
      </c>
      <c r="I86" s="160">
        <v>8578</v>
      </c>
      <c r="J86" s="195" t="s">
        <v>17</v>
      </c>
      <c r="K86" s="162" t="str">
        <f t="shared" si="249"/>
        <v xml:space="preserve"> </v>
      </c>
      <c r="L86" s="162" t="str">
        <f t="shared" si="250"/>
        <v xml:space="preserve"> </v>
      </c>
      <c r="M86" s="162" t="str">
        <f t="shared" si="251"/>
        <v xml:space="preserve"> </v>
      </c>
      <c r="N86" s="162" t="str">
        <f t="shared" si="252"/>
        <v xml:space="preserve"> </v>
      </c>
      <c r="O86" s="162" t="str">
        <f t="shared" si="253"/>
        <v xml:space="preserve"> </v>
      </c>
      <c r="P86" s="162" t="str">
        <f t="shared" si="254"/>
        <v xml:space="preserve"> </v>
      </c>
      <c r="Q86" s="162" t="str">
        <f t="shared" si="255"/>
        <v xml:space="preserve"> </v>
      </c>
      <c r="R86" s="162" t="str">
        <f t="shared" si="256"/>
        <v xml:space="preserve"> </v>
      </c>
      <c r="S86" s="162" t="str">
        <f t="shared" si="257"/>
        <v xml:space="preserve"> </v>
      </c>
      <c r="T86" s="162" t="str">
        <f t="shared" si="258"/>
        <v xml:space="preserve"> </v>
      </c>
      <c r="U86" s="162" t="str">
        <f t="shared" si="259"/>
        <v xml:space="preserve"> </v>
      </c>
      <c r="V86" s="172" t="str">
        <f t="shared" si="260"/>
        <v xml:space="preserve"> </v>
      </c>
      <c r="W86" s="185"/>
      <c r="X86" s="178" t="str">
        <f t="shared" si="261"/>
        <v xml:space="preserve"> </v>
      </c>
      <c r="Y86" s="162" t="str">
        <f t="shared" si="262"/>
        <v xml:space="preserve"> </v>
      </c>
      <c r="Z86" s="162" t="str">
        <f t="shared" si="263"/>
        <v xml:space="preserve"> </v>
      </c>
      <c r="AA86" s="162" t="str">
        <f t="shared" si="264"/>
        <v xml:space="preserve"> </v>
      </c>
      <c r="AB86" s="162" t="str">
        <f t="shared" si="265"/>
        <v xml:space="preserve"> </v>
      </c>
      <c r="AC86" s="162" t="str">
        <f t="shared" si="266"/>
        <v xml:space="preserve"> </v>
      </c>
      <c r="AD86" s="162" t="str">
        <f t="shared" si="267"/>
        <v xml:space="preserve"> </v>
      </c>
      <c r="AE86" s="162" t="str">
        <f t="shared" si="268"/>
        <v xml:space="preserve"> </v>
      </c>
      <c r="AF86" s="162" t="str">
        <f t="shared" si="269"/>
        <v xml:space="preserve"> </v>
      </c>
      <c r="AG86" s="162" t="str">
        <f t="shared" si="270"/>
        <v xml:space="preserve"> </v>
      </c>
      <c r="AH86" s="162" t="str">
        <f t="shared" si="271"/>
        <v xml:space="preserve"> </v>
      </c>
      <c r="AI86" s="172" t="str">
        <f t="shared" si="272"/>
        <v xml:space="preserve"> </v>
      </c>
      <c r="AJ86" s="185"/>
      <c r="AK86" s="160">
        <v>8578</v>
      </c>
      <c r="AL86" s="195" t="s">
        <v>17</v>
      </c>
      <c r="AM86" s="178" t="str">
        <f t="shared" si="273"/>
        <v xml:space="preserve"> </v>
      </c>
      <c r="AN86" s="162" t="str">
        <f t="shared" si="274"/>
        <v xml:space="preserve"> </v>
      </c>
      <c r="AO86" s="162" t="str">
        <f t="shared" si="275"/>
        <v xml:space="preserve"> </v>
      </c>
      <c r="AP86" s="162" t="str">
        <f t="shared" si="276"/>
        <v xml:space="preserve"> </v>
      </c>
      <c r="AQ86" s="162" t="str">
        <f t="shared" si="277"/>
        <v xml:space="preserve"> </v>
      </c>
      <c r="AR86" s="162" t="str">
        <f t="shared" si="278"/>
        <v xml:space="preserve"> </v>
      </c>
      <c r="AS86" s="162" t="str">
        <f t="shared" si="279"/>
        <v xml:space="preserve"> </v>
      </c>
      <c r="AT86" s="162" t="str">
        <f t="shared" si="280"/>
        <v xml:space="preserve"> </v>
      </c>
      <c r="AU86" s="162" t="str">
        <f t="shared" si="281"/>
        <v xml:space="preserve"> </v>
      </c>
      <c r="AV86" s="162" t="str">
        <f t="shared" si="282"/>
        <v xml:space="preserve"> </v>
      </c>
      <c r="AW86" s="162" t="str">
        <f t="shared" si="283"/>
        <v xml:space="preserve"> </v>
      </c>
      <c r="AX86" s="172" t="str">
        <f t="shared" si="284"/>
        <v xml:space="preserve"> </v>
      </c>
      <c r="AY86" s="185"/>
      <c r="AZ86" s="178" t="str">
        <f t="shared" si="285"/>
        <v xml:space="preserve"> </v>
      </c>
      <c r="BA86" s="162" t="str">
        <f t="shared" si="286"/>
        <v xml:space="preserve"> </v>
      </c>
      <c r="BB86" s="162" t="str">
        <f t="shared" si="287"/>
        <v xml:space="preserve"> </v>
      </c>
      <c r="BC86" s="162" t="str">
        <f t="shared" si="288"/>
        <v xml:space="preserve"> </v>
      </c>
      <c r="BD86" s="162" t="str">
        <f t="shared" si="289"/>
        <v xml:space="preserve"> </v>
      </c>
      <c r="BE86" s="162" t="str">
        <f t="shared" si="290"/>
        <v xml:space="preserve"> </v>
      </c>
      <c r="BF86" s="162" t="str">
        <f t="shared" si="291"/>
        <v xml:space="preserve"> </v>
      </c>
      <c r="BG86" s="162" t="str">
        <f t="shared" si="292"/>
        <v xml:space="preserve"> </v>
      </c>
      <c r="BH86" s="162" t="str">
        <f t="shared" si="293"/>
        <v xml:space="preserve"> </v>
      </c>
      <c r="BI86" s="162" t="str">
        <f t="shared" si="294"/>
        <v xml:space="preserve"> </v>
      </c>
      <c r="BJ86" s="162" t="str">
        <f t="shared" si="295"/>
        <v xml:space="preserve"> </v>
      </c>
      <c r="BK86" s="172" t="str">
        <f t="shared" si="296"/>
        <v xml:space="preserve"> </v>
      </c>
      <c r="BL86" s="185"/>
      <c r="BM86" s="160">
        <v>8578</v>
      </c>
      <c r="BN86" s="195" t="s">
        <v>17</v>
      </c>
      <c r="BO86" s="178" t="str">
        <f t="shared" si="297"/>
        <v xml:space="preserve"> </v>
      </c>
      <c r="BP86" s="162" t="str">
        <f t="shared" si="298"/>
        <v xml:space="preserve"> </v>
      </c>
      <c r="BQ86" s="162" t="str">
        <f t="shared" si="299"/>
        <v xml:space="preserve"> </v>
      </c>
      <c r="BR86" s="162" t="str">
        <f t="shared" si="300"/>
        <v xml:space="preserve"> </v>
      </c>
      <c r="BS86" s="162" t="str">
        <f t="shared" si="301"/>
        <v xml:space="preserve"> </v>
      </c>
      <c r="BT86" s="162" t="str">
        <f t="shared" si="302"/>
        <v xml:space="preserve"> </v>
      </c>
      <c r="BU86" s="162" t="str">
        <f t="shared" si="303"/>
        <v xml:space="preserve"> </v>
      </c>
      <c r="BV86" s="162" t="str">
        <f t="shared" si="304"/>
        <v xml:space="preserve"> </v>
      </c>
      <c r="BW86" s="162" t="str">
        <f t="shared" si="305"/>
        <v xml:space="preserve"> </v>
      </c>
      <c r="BX86" s="162" t="str">
        <f t="shared" si="306"/>
        <v xml:space="preserve"> </v>
      </c>
      <c r="BY86" s="162" t="str">
        <f t="shared" si="307"/>
        <v xml:space="preserve"> </v>
      </c>
      <c r="BZ86" s="172" t="str">
        <f t="shared" si="308"/>
        <v xml:space="preserve"> </v>
      </c>
      <c r="CA86" s="189"/>
    </row>
    <row r="87" spans="1:79" ht="15.75" x14ac:dyDescent="0.25">
      <c r="A87" s="199">
        <f t="shared" si="242"/>
        <v>8579</v>
      </c>
      <c r="B87" s="199" t="str">
        <f t="shared" si="243"/>
        <v>NGSA</v>
      </c>
      <c r="C87" s="56" t="str">
        <f t="shared" si="244"/>
        <v xml:space="preserve"> </v>
      </c>
      <c r="D87" s="53" t="str">
        <f t="shared" si="245"/>
        <v xml:space="preserve"> </v>
      </c>
      <c r="E87" s="39" t="str">
        <f t="shared" si="246"/>
        <v xml:space="preserve"> </v>
      </c>
      <c r="F87" s="39" t="str">
        <f t="shared" si="247"/>
        <v xml:space="preserve"> </v>
      </c>
      <c r="G87" s="210" t="str">
        <f t="shared" si="248"/>
        <v xml:space="preserve"> </v>
      </c>
      <c r="I87" s="160">
        <v>8579</v>
      </c>
      <c r="J87" s="195" t="s">
        <v>17</v>
      </c>
      <c r="K87" s="162" t="str">
        <f t="shared" si="249"/>
        <v xml:space="preserve"> </v>
      </c>
      <c r="L87" s="162" t="str">
        <f t="shared" si="250"/>
        <v xml:space="preserve"> </v>
      </c>
      <c r="M87" s="162" t="str">
        <f t="shared" si="251"/>
        <v xml:space="preserve"> </v>
      </c>
      <c r="N87" s="162" t="str">
        <f t="shared" si="252"/>
        <v xml:space="preserve"> </v>
      </c>
      <c r="O87" s="162" t="str">
        <f t="shared" si="253"/>
        <v xml:space="preserve"> </v>
      </c>
      <c r="P87" s="162" t="str">
        <f t="shared" si="254"/>
        <v xml:space="preserve"> </v>
      </c>
      <c r="Q87" s="162" t="str">
        <f t="shared" si="255"/>
        <v xml:space="preserve"> </v>
      </c>
      <c r="R87" s="162" t="str">
        <f t="shared" si="256"/>
        <v xml:space="preserve"> </v>
      </c>
      <c r="S87" s="162" t="str">
        <f t="shared" si="257"/>
        <v xml:space="preserve"> </v>
      </c>
      <c r="T87" s="162" t="str">
        <f t="shared" si="258"/>
        <v xml:space="preserve"> </v>
      </c>
      <c r="U87" s="162" t="str">
        <f t="shared" si="259"/>
        <v xml:space="preserve"> </v>
      </c>
      <c r="V87" s="172" t="str">
        <f t="shared" si="260"/>
        <v xml:space="preserve"> </v>
      </c>
      <c r="W87" s="185"/>
      <c r="X87" s="178" t="str">
        <f t="shared" si="261"/>
        <v xml:space="preserve"> </v>
      </c>
      <c r="Y87" s="162" t="str">
        <f t="shared" si="262"/>
        <v xml:space="preserve"> </v>
      </c>
      <c r="Z87" s="162" t="str">
        <f t="shared" si="263"/>
        <v xml:space="preserve"> </v>
      </c>
      <c r="AA87" s="162" t="str">
        <f t="shared" si="264"/>
        <v xml:space="preserve"> </v>
      </c>
      <c r="AB87" s="162" t="str">
        <f t="shared" si="265"/>
        <v xml:space="preserve"> </v>
      </c>
      <c r="AC87" s="162" t="str">
        <f t="shared" si="266"/>
        <v xml:space="preserve"> </v>
      </c>
      <c r="AD87" s="162" t="str">
        <f t="shared" si="267"/>
        <v xml:space="preserve"> </v>
      </c>
      <c r="AE87" s="162" t="str">
        <f t="shared" si="268"/>
        <v xml:space="preserve"> </v>
      </c>
      <c r="AF87" s="162" t="str">
        <f t="shared" si="269"/>
        <v xml:space="preserve"> </v>
      </c>
      <c r="AG87" s="162" t="str">
        <f t="shared" si="270"/>
        <v xml:space="preserve"> </v>
      </c>
      <c r="AH87" s="162" t="str">
        <f t="shared" si="271"/>
        <v xml:space="preserve"> </v>
      </c>
      <c r="AI87" s="172" t="str">
        <f t="shared" si="272"/>
        <v xml:space="preserve"> </v>
      </c>
      <c r="AJ87" s="185"/>
      <c r="AK87" s="160">
        <v>8579</v>
      </c>
      <c r="AL87" s="195" t="s">
        <v>17</v>
      </c>
      <c r="AM87" s="178" t="str">
        <f t="shared" si="273"/>
        <v xml:space="preserve"> </v>
      </c>
      <c r="AN87" s="162" t="str">
        <f t="shared" si="274"/>
        <v xml:space="preserve"> </v>
      </c>
      <c r="AO87" s="162" t="str">
        <f t="shared" si="275"/>
        <v xml:space="preserve"> </v>
      </c>
      <c r="AP87" s="162" t="str">
        <f t="shared" si="276"/>
        <v xml:space="preserve"> </v>
      </c>
      <c r="AQ87" s="162" t="str">
        <f t="shared" si="277"/>
        <v xml:space="preserve"> </v>
      </c>
      <c r="AR87" s="162" t="str">
        <f t="shared" si="278"/>
        <v xml:space="preserve"> </v>
      </c>
      <c r="AS87" s="162" t="str">
        <f t="shared" si="279"/>
        <v xml:space="preserve"> </v>
      </c>
      <c r="AT87" s="162" t="str">
        <f t="shared" si="280"/>
        <v xml:space="preserve"> </v>
      </c>
      <c r="AU87" s="162" t="str">
        <f t="shared" si="281"/>
        <v xml:space="preserve"> </v>
      </c>
      <c r="AV87" s="162" t="str">
        <f t="shared" si="282"/>
        <v xml:space="preserve"> </v>
      </c>
      <c r="AW87" s="162" t="str">
        <f t="shared" si="283"/>
        <v xml:space="preserve"> </v>
      </c>
      <c r="AX87" s="172" t="str">
        <f t="shared" si="284"/>
        <v xml:space="preserve"> </v>
      </c>
      <c r="AY87" s="185"/>
      <c r="AZ87" s="178" t="str">
        <f t="shared" si="285"/>
        <v xml:space="preserve"> </v>
      </c>
      <c r="BA87" s="162" t="str">
        <f t="shared" si="286"/>
        <v xml:space="preserve"> </v>
      </c>
      <c r="BB87" s="162" t="str">
        <f t="shared" si="287"/>
        <v xml:space="preserve"> </v>
      </c>
      <c r="BC87" s="162" t="str">
        <f t="shared" si="288"/>
        <v xml:space="preserve"> </v>
      </c>
      <c r="BD87" s="162" t="str">
        <f t="shared" si="289"/>
        <v xml:space="preserve"> </v>
      </c>
      <c r="BE87" s="162" t="str">
        <f t="shared" si="290"/>
        <v xml:space="preserve"> </v>
      </c>
      <c r="BF87" s="162" t="str">
        <f t="shared" si="291"/>
        <v xml:space="preserve"> </v>
      </c>
      <c r="BG87" s="162" t="str">
        <f t="shared" si="292"/>
        <v xml:space="preserve"> </v>
      </c>
      <c r="BH87" s="162" t="str">
        <f t="shared" si="293"/>
        <v xml:space="preserve"> </v>
      </c>
      <c r="BI87" s="162" t="str">
        <f t="shared" si="294"/>
        <v xml:space="preserve"> </v>
      </c>
      <c r="BJ87" s="162" t="str">
        <f t="shared" si="295"/>
        <v xml:space="preserve"> </v>
      </c>
      <c r="BK87" s="172" t="str">
        <f t="shared" si="296"/>
        <v xml:space="preserve"> </v>
      </c>
      <c r="BL87" s="185"/>
      <c r="BM87" s="160">
        <v>8579</v>
      </c>
      <c r="BN87" s="195" t="s">
        <v>17</v>
      </c>
      <c r="BO87" s="178" t="str">
        <f t="shared" si="297"/>
        <v xml:space="preserve"> </v>
      </c>
      <c r="BP87" s="162" t="str">
        <f t="shared" si="298"/>
        <v xml:space="preserve"> </v>
      </c>
      <c r="BQ87" s="162" t="str">
        <f t="shared" si="299"/>
        <v xml:space="preserve"> </v>
      </c>
      <c r="BR87" s="162" t="str">
        <f t="shared" si="300"/>
        <v xml:space="preserve"> </v>
      </c>
      <c r="BS87" s="162" t="str">
        <f t="shared" si="301"/>
        <v xml:space="preserve"> </v>
      </c>
      <c r="BT87" s="162" t="str">
        <f t="shared" si="302"/>
        <v xml:space="preserve"> </v>
      </c>
      <c r="BU87" s="162" t="str">
        <f t="shared" si="303"/>
        <v xml:space="preserve"> </v>
      </c>
      <c r="BV87" s="162" t="str">
        <f t="shared" si="304"/>
        <v xml:space="preserve"> </v>
      </c>
      <c r="BW87" s="162" t="str">
        <f t="shared" si="305"/>
        <v xml:space="preserve"> </v>
      </c>
      <c r="BX87" s="162" t="str">
        <f t="shared" si="306"/>
        <v xml:space="preserve"> </v>
      </c>
      <c r="BY87" s="162" t="str">
        <f t="shared" si="307"/>
        <v xml:space="preserve"> </v>
      </c>
      <c r="BZ87" s="172" t="str">
        <f t="shared" si="308"/>
        <v xml:space="preserve"> </v>
      </c>
      <c r="CA87" s="189"/>
    </row>
    <row r="88" spans="1:79" ht="15.75" x14ac:dyDescent="0.25">
      <c r="A88" s="199">
        <f t="shared" si="242"/>
        <v>8580</v>
      </c>
      <c r="B88" s="199" t="str">
        <f t="shared" si="243"/>
        <v>NGSA</v>
      </c>
      <c r="C88" s="56" t="str">
        <f t="shared" si="244"/>
        <v xml:space="preserve"> </v>
      </c>
      <c r="D88" s="53" t="str">
        <f t="shared" si="245"/>
        <v xml:space="preserve"> </v>
      </c>
      <c r="E88" s="39" t="str">
        <f t="shared" si="246"/>
        <v xml:space="preserve"> </v>
      </c>
      <c r="F88" s="39" t="str">
        <f t="shared" si="247"/>
        <v xml:space="preserve"> </v>
      </c>
      <c r="G88" s="210" t="str">
        <f t="shared" si="248"/>
        <v xml:space="preserve"> </v>
      </c>
      <c r="I88" s="160">
        <v>8580</v>
      </c>
      <c r="J88" s="195" t="s">
        <v>17</v>
      </c>
      <c r="K88" s="162" t="str">
        <f t="shared" si="249"/>
        <v xml:space="preserve"> </v>
      </c>
      <c r="L88" s="162" t="str">
        <f t="shared" si="250"/>
        <v xml:space="preserve"> </v>
      </c>
      <c r="M88" s="162" t="str">
        <f t="shared" si="251"/>
        <v xml:space="preserve"> </v>
      </c>
      <c r="N88" s="162" t="str">
        <f t="shared" si="252"/>
        <v xml:space="preserve"> </v>
      </c>
      <c r="O88" s="162" t="str">
        <f t="shared" si="253"/>
        <v xml:space="preserve"> </v>
      </c>
      <c r="P88" s="162" t="str">
        <f t="shared" si="254"/>
        <v xml:space="preserve"> </v>
      </c>
      <c r="Q88" s="162" t="str">
        <f t="shared" si="255"/>
        <v xml:space="preserve"> </v>
      </c>
      <c r="R88" s="162" t="str">
        <f t="shared" si="256"/>
        <v xml:space="preserve"> </v>
      </c>
      <c r="S88" s="162" t="str">
        <f t="shared" si="257"/>
        <v xml:space="preserve"> </v>
      </c>
      <c r="T88" s="162" t="str">
        <f t="shared" si="258"/>
        <v xml:space="preserve"> </v>
      </c>
      <c r="U88" s="162" t="str">
        <f t="shared" si="259"/>
        <v xml:space="preserve"> </v>
      </c>
      <c r="V88" s="172" t="str">
        <f t="shared" si="260"/>
        <v xml:space="preserve"> </v>
      </c>
      <c r="W88" s="185"/>
      <c r="X88" s="178" t="str">
        <f t="shared" si="261"/>
        <v xml:space="preserve"> </v>
      </c>
      <c r="Y88" s="162" t="str">
        <f t="shared" si="262"/>
        <v xml:space="preserve"> </v>
      </c>
      <c r="Z88" s="162" t="str">
        <f t="shared" si="263"/>
        <v xml:space="preserve"> </v>
      </c>
      <c r="AA88" s="162" t="str">
        <f t="shared" si="264"/>
        <v xml:space="preserve"> </v>
      </c>
      <c r="AB88" s="162" t="str">
        <f t="shared" si="265"/>
        <v xml:space="preserve"> </v>
      </c>
      <c r="AC88" s="162" t="str">
        <f t="shared" si="266"/>
        <v xml:space="preserve"> </v>
      </c>
      <c r="AD88" s="162" t="str">
        <f t="shared" si="267"/>
        <v xml:space="preserve"> </v>
      </c>
      <c r="AE88" s="162" t="str">
        <f t="shared" si="268"/>
        <v xml:space="preserve"> </v>
      </c>
      <c r="AF88" s="162" t="str">
        <f t="shared" si="269"/>
        <v xml:space="preserve"> </v>
      </c>
      <c r="AG88" s="162" t="str">
        <f t="shared" si="270"/>
        <v xml:space="preserve"> </v>
      </c>
      <c r="AH88" s="162" t="str">
        <f t="shared" si="271"/>
        <v xml:space="preserve"> </v>
      </c>
      <c r="AI88" s="172" t="str">
        <f t="shared" si="272"/>
        <v xml:space="preserve"> </v>
      </c>
      <c r="AJ88" s="185"/>
      <c r="AK88" s="160">
        <v>8580</v>
      </c>
      <c r="AL88" s="195" t="s">
        <v>17</v>
      </c>
      <c r="AM88" s="178" t="str">
        <f t="shared" si="273"/>
        <v xml:space="preserve"> </v>
      </c>
      <c r="AN88" s="162" t="str">
        <f t="shared" si="274"/>
        <v xml:space="preserve"> </v>
      </c>
      <c r="AO88" s="162" t="str">
        <f t="shared" si="275"/>
        <v xml:space="preserve"> </v>
      </c>
      <c r="AP88" s="162" t="str">
        <f t="shared" si="276"/>
        <v xml:space="preserve"> </v>
      </c>
      <c r="AQ88" s="162" t="str">
        <f t="shared" si="277"/>
        <v xml:space="preserve"> </v>
      </c>
      <c r="AR88" s="162" t="str">
        <f t="shared" si="278"/>
        <v xml:space="preserve"> </v>
      </c>
      <c r="AS88" s="162" t="str">
        <f t="shared" si="279"/>
        <v xml:space="preserve"> </v>
      </c>
      <c r="AT88" s="162" t="str">
        <f t="shared" si="280"/>
        <v xml:space="preserve"> </v>
      </c>
      <c r="AU88" s="162" t="str">
        <f t="shared" si="281"/>
        <v xml:space="preserve"> </v>
      </c>
      <c r="AV88" s="162" t="str">
        <f t="shared" si="282"/>
        <v xml:space="preserve"> </v>
      </c>
      <c r="AW88" s="162" t="str">
        <f t="shared" si="283"/>
        <v xml:space="preserve"> </v>
      </c>
      <c r="AX88" s="172" t="str">
        <f t="shared" si="284"/>
        <v xml:space="preserve"> </v>
      </c>
      <c r="AY88" s="185"/>
      <c r="AZ88" s="178" t="str">
        <f t="shared" si="285"/>
        <v xml:space="preserve"> </v>
      </c>
      <c r="BA88" s="162" t="str">
        <f t="shared" si="286"/>
        <v xml:space="preserve"> </v>
      </c>
      <c r="BB88" s="162" t="str">
        <f t="shared" si="287"/>
        <v xml:space="preserve"> </v>
      </c>
      <c r="BC88" s="162" t="str">
        <f t="shared" si="288"/>
        <v xml:space="preserve"> </v>
      </c>
      <c r="BD88" s="162" t="str">
        <f t="shared" si="289"/>
        <v xml:space="preserve"> </v>
      </c>
      <c r="BE88" s="162" t="str">
        <f t="shared" si="290"/>
        <v xml:space="preserve"> </v>
      </c>
      <c r="BF88" s="162" t="str">
        <f t="shared" si="291"/>
        <v xml:space="preserve"> </v>
      </c>
      <c r="BG88" s="162" t="str">
        <f t="shared" si="292"/>
        <v xml:space="preserve"> </v>
      </c>
      <c r="BH88" s="162" t="str">
        <f t="shared" si="293"/>
        <v xml:space="preserve"> </v>
      </c>
      <c r="BI88" s="162" t="str">
        <f t="shared" si="294"/>
        <v xml:space="preserve"> </v>
      </c>
      <c r="BJ88" s="162" t="str">
        <f t="shared" si="295"/>
        <v xml:space="preserve"> </v>
      </c>
      <c r="BK88" s="172" t="str">
        <f t="shared" si="296"/>
        <v xml:space="preserve"> </v>
      </c>
      <c r="BL88" s="185"/>
      <c r="BM88" s="160">
        <v>8580</v>
      </c>
      <c r="BN88" s="195" t="s">
        <v>17</v>
      </c>
      <c r="BO88" s="178" t="str">
        <f t="shared" si="297"/>
        <v xml:space="preserve"> </v>
      </c>
      <c r="BP88" s="162" t="str">
        <f t="shared" si="298"/>
        <v xml:space="preserve"> </v>
      </c>
      <c r="BQ88" s="162" t="str">
        <f t="shared" si="299"/>
        <v xml:space="preserve"> </v>
      </c>
      <c r="BR88" s="162" t="str">
        <f t="shared" si="300"/>
        <v xml:space="preserve"> </v>
      </c>
      <c r="BS88" s="162" t="str">
        <f t="shared" si="301"/>
        <v xml:space="preserve"> </v>
      </c>
      <c r="BT88" s="162" t="str">
        <f t="shared" si="302"/>
        <v xml:space="preserve"> </v>
      </c>
      <c r="BU88" s="162" t="str">
        <f t="shared" si="303"/>
        <v xml:space="preserve"> </v>
      </c>
      <c r="BV88" s="162" t="str">
        <f t="shared" si="304"/>
        <v xml:space="preserve"> </v>
      </c>
      <c r="BW88" s="162" t="str">
        <f t="shared" si="305"/>
        <v xml:space="preserve"> </v>
      </c>
      <c r="BX88" s="162" t="str">
        <f t="shared" si="306"/>
        <v xml:space="preserve"> </v>
      </c>
      <c r="BY88" s="162" t="str">
        <f t="shared" si="307"/>
        <v xml:space="preserve"> </v>
      </c>
      <c r="BZ88" s="172" t="str">
        <f t="shared" si="308"/>
        <v xml:space="preserve"> </v>
      </c>
      <c r="CA88" s="189"/>
    </row>
    <row r="89" spans="1:79" ht="15.75" x14ac:dyDescent="0.25">
      <c r="A89" s="199">
        <f t="shared" si="242"/>
        <v>13636</v>
      </c>
      <c r="B89" s="199" t="str">
        <f t="shared" si="243"/>
        <v>NGSA</v>
      </c>
      <c r="C89" s="56" t="str">
        <f t="shared" si="244"/>
        <v xml:space="preserve"> </v>
      </c>
      <c r="D89" s="53" t="str">
        <f t="shared" si="245"/>
        <v xml:space="preserve"> </v>
      </c>
      <c r="E89" s="39" t="str">
        <f t="shared" si="246"/>
        <v xml:space="preserve"> </v>
      </c>
      <c r="F89" s="39">
        <f t="shared" si="247"/>
        <v>3</v>
      </c>
      <c r="G89" s="210" t="str">
        <f t="shared" si="248"/>
        <v xml:space="preserve"> </v>
      </c>
      <c r="I89" s="160">
        <v>13636</v>
      </c>
      <c r="J89" s="195" t="s">
        <v>17</v>
      </c>
      <c r="K89" s="162" t="str">
        <f t="shared" si="249"/>
        <v xml:space="preserve"> </v>
      </c>
      <c r="L89" s="162" t="str">
        <f t="shared" si="250"/>
        <v xml:space="preserve"> </v>
      </c>
      <c r="M89" s="162" t="str">
        <f t="shared" si="251"/>
        <v xml:space="preserve"> </v>
      </c>
      <c r="N89" s="162" t="str">
        <f t="shared" si="252"/>
        <v xml:space="preserve"> </v>
      </c>
      <c r="O89" s="162" t="str">
        <f t="shared" si="253"/>
        <v xml:space="preserve"> </v>
      </c>
      <c r="P89" s="162" t="str">
        <f t="shared" si="254"/>
        <v xml:space="preserve"> </v>
      </c>
      <c r="Q89" s="162" t="str">
        <f t="shared" si="255"/>
        <v xml:space="preserve"> </v>
      </c>
      <c r="R89" s="162" t="str">
        <f t="shared" si="256"/>
        <v xml:space="preserve"> </v>
      </c>
      <c r="S89" s="162" t="str">
        <f t="shared" si="257"/>
        <v xml:space="preserve"> </v>
      </c>
      <c r="T89" s="162" t="str">
        <f t="shared" si="258"/>
        <v xml:space="preserve"> </v>
      </c>
      <c r="U89" s="162" t="str">
        <f t="shared" si="259"/>
        <v xml:space="preserve"> </v>
      </c>
      <c r="V89" s="172" t="str">
        <f t="shared" si="260"/>
        <v xml:space="preserve"> </v>
      </c>
      <c r="W89" s="185"/>
      <c r="X89" s="178" t="str">
        <f t="shared" si="261"/>
        <v xml:space="preserve"> </v>
      </c>
      <c r="Y89" s="162" t="str">
        <f t="shared" si="262"/>
        <v xml:space="preserve"> </v>
      </c>
      <c r="Z89" s="162" t="str">
        <f t="shared" si="263"/>
        <v xml:space="preserve"> </v>
      </c>
      <c r="AA89" s="162" t="str">
        <f t="shared" si="264"/>
        <v xml:space="preserve"> </v>
      </c>
      <c r="AB89" s="162" t="str">
        <f t="shared" si="265"/>
        <v xml:space="preserve"> </v>
      </c>
      <c r="AC89" s="162" t="str">
        <f t="shared" si="266"/>
        <v xml:space="preserve"> </v>
      </c>
      <c r="AD89" s="162" t="str">
        <f t="shared" si="267"/>
        <v xml:space="preserve"> </v>
      </c>
      <c r="AE89" s="162" t="str">
        <f t="shared" si="268"/>
        <v xml:space="preserve"> </v>
      </c>
      <c r="AF89" s="162" t="str">
        <f t="shared" si="269"/>
        <v xml:space="preserve"> </v>
      </c>
      <c r="AG89" s="162" t="str">
        <f t="shared" si="270"/>
        <v xml:space="preserve"> </v>
      </c>
      <c r="AH89" s="162" t="str">
        <f t="shared" si="271"/>
        <v xml:space="preserve"> </v>
      </c>
      <c r="AI89" s="172" t="str">
        <f t="shared" si="272"/>
        <v xml:space="preserve"> </v>
      </c>
      <c r="AJ89" s="185"/>
      <c r="AK89" s="160">
        <v>13636</v>
      </c>
      <c r="AL89" s="195" t="s">
        <v>17</v>
      </c>
      <c r="AM89" s="178" t="str">
        <f t="shared" si="273"/>
        <v xml:space="preserve"> </v>
      </c>
      <c r="AN89" s="162" t="str">
        <f t="shared" si="274"/>
        <v xml:space="preserve"> </v>
      </c>
      <c r="AO89" s="162" t="str">
        <f t="shared" si="275"/>
        <v xml:space="preserve"> </v>
      </c>
      <c r="AP89" s="162" t="str">
        <f t="shared" si="276"/>
        <v xml:space="preserve"> </v>
      </c>
      <c r="AQ89" s="162" t="str">
        <f t="shared" si="277"/>
        <v xml:space="preserve"> </v>
      </c>
      <c r="AR89" s="162" t="str">
        <f t="shared" si="278"/>
        <v xml:space="preserve"> </v>
      </c>
      <c r="AS89" s="162" t="str">
        <f t="shared" si="279"/>
        <v xml:space="preserve"> </v>
      </c>
      <c r="AT89" s="162" t="str">
        <f t="shared" si="280"/>
        <v xml:space="preserve"> </v>
      </c>
      <c r="AU89" s="162" t="str">
        <f t="shared" si="281"/>
        <v xml:space="preserve"> </v>
      </c>
      <c r="AV89" s="162" t="str">
        <f t="shared" si="282"/>
        <v xml:space="preserve"> </v>
      </c>
      <c r="AW89" s="162" t="str">
        <f t="shared" si="283"/>
        <v xml:space="preserve"> </v>
      </c>
      <c r="AX89" s="172" t="str">
        <f t="shared" si="284"/>
        <v xml:space="preserve"> </v>
      </c>
      <c r="AY89" s="185"/>
      <c r="AZ89" s="178" t="str">
        <f t="shared" si="285"/>
        <v xml:space="preserve"> </v>
      </c>
      <c r="BA89" s="162" t="str">
        <f t="shared" si="286"/>
        <v xml:space="preserve"> </v>
      </c>
      <c r="BB89" s="162" t="str">
        <f t="shared" si="287"/>
        <v xml:space="preserve"> </v>
      </c>
      <c r="BC89" s="162" t="str">
        <f t="shared" si="288"/>
        <v xml:space="preserve"> </v>
      </c>
      <c r="BD89" s="162" t="str">
        <f t="shared" si="289"/>
        <v xml:space="preserve"> </v>
      </c>
      <c r="BE89" s="162" t="str">
        <f t="shared" si="290"/>
        <v xml:space="preserve"> </v>
      </c>
      <c r="BF89" s="162" t="str">
        <f t="shared" si="291"/>
        <v xml:space="preserve"> </v>
      </c>
      <c r="BG89" s="162" t="str">
        <f t="shared" si="292"/>
        <v xml:space="preserve"> </v>
      </c>
      <c r="BH89" s="162" t="str">
        <f t="shared" si="293"/>
        <v xml:space="preserve"> </v>
      </c>
      <c r="BI89" s="162" t="str">
        <f t="shared" si="294"/>
        <v xml:space="preserve"> </v>
      </c>
      <c r="BJ89" s="162" t="str">
        <f t="shared" si="295"/>
        <v xml:space="preserve"> </v>
      </c>
      <c r="BK89" s="172" t="str">
        <f t="shared" si="296"/>
        <v xml:space="preserve"> </v>
      </c>
      <c r="BL89" s="185"/>
      <c r="BM89" s="160">
        <v>13636</v>
      </c>
      <c r="BN89" s="195" t="s">
        <v>17</v>
      </c>
      <c r="BO89" s="178" t="str">
        <f t="shared" si="297"/>
        <v xml:space="preserve"> </v>
      </c>
      <c r="BP89" s="162" t="str">
        <f t="shared" si="298"/>
        <v xml:space="preserve"> </v>
      </c>
      <c r="BQ89" s="162" t="str">
        <f t="shared" si="299"/>
        <v xml:space="preserve"> </v>
      </c>
      <c r="BR89" s="162" t="str">
        <f t="shared" si="300"/>
        <v xml:space="preserve"> </v>
      </c>
      <c r="BS89" s="162" t="str">
        <f t="shared" si="301"/>
        <v xml:space="preserve"> </v>
      </c>
      <c r="BT89" s="162" t="str">
        <f t="shared" si="302"/>
        <v xml:space="preserve"> </v>
      </c>
      <c r="BU89" s="162" t="str">
        <f t="shared" si="303"/>
        <v xml:space="preserve"> </v>
      </c>
      <c r="BV89" s="162" t="str">
        <f t="shared" si="304"/>
        <v xml:space="preserve"> </v>
      </c>
      <c r="BW89" s="162" t="str">
        <f t="shared" si="305"/>
        <v>X</v>
      </c>
      <c r="BX89" s="162" t="str">
        <f t="shared" si="306"/>
        <v>X</v>
      </c>
      <c r="BY89" s="162" t="str">
        <f t="shared" si="307"/>
        <v>X</v>
      </c>
      <c r="BZ89" s="172">
        <f t="shared" si="308"/>
        <v>3</v>
      </c>
      <c r="CA89" s="189"/>
    </row>
    <row r="90" spans="1:79" ht="15.75" x14ac:dyDescent="0.25">
      <c r="A90" s="199">
        <f t="shared" si="242"/>
        <v>18287</v>
      </c>
      <c r="B90" s="199" t="str">
        <f t="shared" si="243"/>
        <v>NGSA</v>
      </c>
      <c r="C90" s="56" t="str">
        <f t="shared" si="244"/>
        <v xml:space="preserve"> </v>
      </c>
      <c r="D90" s="53" t="str">
        <f t="shared" si="245"/>
        <v xml:space="preserve"> </v>
      </c>
      <c r="E90" s="39" t="str">
        <f t="shared" si="246"/>
        <v xml:space="preserve"> </v>
      </c>
      <c r="F90" s="39" t="str">
        <f t="shared" si="247"/>
        <v xml:space="preserve"> </v>
      </c>
      <c r="G90" s="210" t="str">
        <f t="shared" si="248"/>
        <v xml:space="preserve"> </v>
      </c>
      <c r="I90" s="160">
        <v>18287</v>
      </c>
      <c r="J90" s="195" t="s">
        <v>17</v>
      </c>
      <c r="K90" s="162" t="str">
        <f t="shared" si="249"/>
        <v xml:space="preserve"> </v>
      </c>
      <c r="L90" s="162" t="str">
        <f t="shared" si="250"/>
        <v xml:space="preserve"> </v>
      </c>
      <c r="M90" s="162" t="str">
        <f t="shared" si="251"/>
        <v xml:space="preserve"> </v>
      </c>
      <c r="N90" s="162" t="str">
        <f t="shared" si="252"/>
        <v xml:space="preserve"> </v>
      </c>
      <c r="O90" s="162" t="str">
        <f t="shared" si="253"/>
        <v xml:space="preserve"> </v>
      </c>
      <c r="P90" s="162" t="str">
        <f t="shared" si="254"/>
        <v xml:space="preserve"> </v>
      </c>
      <c r="Q90" s="162" t="str">
        <f t="shared" si="255"/>
        <v xml:space="preserve"> </v>
      </c>
      <c r="R90" s="162" t="str">
        <f t="shared" si="256"/>
        <v xml:space="preserve"> </v>
      </c>
      <c r="S90" s="162" t="str">
        <f t="shared" si="257"/>
        <v xml:space="preserve"> </v>
      </c>
      <c r="T90" s="162" t="str">
        <f t="shared" si="258"/>
        <v xml:space="preserve"> </v>
      </c>
      <c r="U90" s="162" t="str">
        <f t="shared" si="259"/>
        <v xml:space="preserve"> </v>
      </c>
      <c r="V90" s="172" t="str">
        <f t="shared" si="260"/>
        <v xml:space="preserve"> </v>
      </c>
      <c r="W90" s="185"/>
      <c r="X90" s="178" t="str">
        <f t="shared" si="261"/>
        <v xml:space="preserve"> </v>
      </c>
      <c r="Y90" s="162" t="str">
        <f t="shared" si="262"/>
        <v xml:space="preserve"> </v>
      </c>
      <c r="Z90" s="162" t="str">
        <f t="shared" si="263"/>
        <v xml:space="preserve"> </v>
      </c>
      <c r="AA90" s="162" t="str">
        <f t="shared" si="264"/>
        <v xml:space="preserve"> </v>
      </c>
      <c r="AB90" s="162" t="str">
        <f t="shared" si="265"/>
        <v xml:space="preserve"> </v>
      </c>
      <c r="AC90" s="162" t="str">
        <f t="shared" si="266"/>
        <v xml:space="preserve"> </v>
      </c>
      <c r="AD90" s="162" t="str">
        <f t="shared" si="267"/>
        <v xml:space="preserve"> </v>
      </c>
      <c r="AE90" s="162" t="str">
        <f t="shared" si="268"/>
        <v xml:space="preserve"> </v>
      </c>
      <c r="AF90" s="162" t="str">
        <f t="shared" si="269"/>
        <v xml:space="preserve"> </v>
      </c>
      <c r="AG90" s="162" t="str">
        <f t="shared" si="270"/>
        <v xml:space="preserve"> </v>
      </c>
      <c r="AH90" s="162" t="str">
        <f t="shared" si="271"/>
        <v xml:space="preserve"> </v>
      </c>
      <c r="AI90" s="172" t="str">
        <f t="shared" si="272"/>
        <v xml:space="preserve"> </v>
      </c>
      <c r="AJ90" s="185"/>
      <c r="AK90" s="160">
        <v>18287</v>
      </c>
      <c r="AL90" s="195" t="s">
        <v>17</v>
      </c>
      <c r="AM90" s="178" t="str">
        <f t="shared" si="273"/>
        <v xml:space="preserve"> </v>
      </c>
      <c r="AN90" s="162" t="str">
        <f t="shared" si="274"/>
        <v xml:space="preserve"> </v>
      </c>
      <c r="AO90" s="162" t="str">
        <f t="shared" si="275"/>
        <v xml:space="preserve"> </v>
      </c>
      <c r="AP90" s="162" t="str">
        <f t="shared" si="276"/>
        <v xml:space="preserve"> </v>
      </c>
      <c r="AQ90" s="162" t="str">
        <f t="shared" si="277"/>
        <v xml:space="preserve"> </v>
      </c>
      <c r="AR90" s="162" t="str">
        <f t="shared" si="278"/>
        <v xml:space="preserve"> </v>
      </c>
      <c r="AS90" s="162" t="str">
        <f t="shared" si="279"/>
        <v xml:space="preserve"> </v>
      </c>
      <c r="AT90" s="162" t="str">
        <f t="shared" si="280"/>
        <v xml:space="preserve"> </v>
      </c>
      <c r="AU90" s="162" t="str">
        <f t="shared" si="281"/>
        <v xml:space="preserve"> </v>
      </c>
      <c r="AV90" s="162" t="str">
        <f t="shared" si="282"/>
        <v xml:space="preserve"> </v>
      </c>
      <c r="AW90" s="162" t="str">
        <f t="shared" si="283"/>
        <v xml:space="preserve"> </v>
      </c>
      <c r="AX90" s="172" t="str">
        <f t="shared" si="284"/>
        <v xml:space="preserve"> </v>
      </c>
      <c r="AY90" s="185"/>
      <c r="AZ90" s="178" t="str">
        <f t="shared" si="285"/>
        <v xml:space="preserve"> </v>
      </c>
      <c r="BA90" s="162" t="str">
        <f t="shared" si="286"/>
        <v xml:space="preserve"> </v>
      </c>
      <c r="BB90" s="162" t="str">
        <f t="shared" si="287"/>
        <v xml:space="preserve"> </v>
      </c>
      <c r="BC90" s="162" t="str">
        <f t="shared" si="288"/>
        <v xml:space="preserve"> </v>
      </c>
      <c r="BD90" s="162" t="str">
        <f t="shared" si="289"/>
        <v xml:space="preserve"> </v>
      </c>
      <c r="BE90" s="162" t="str">
        <f t="shared" si="290"/>
        <v xml:space="preserve"> </v>
      </c>
      <c r="BF90" s="162" t="str">
        <f t="shared" si="291"/>
        <v xml:space="preserve"> </v>
      </c>
      <c r="BG90" s="162" t="str">
        <f t="shared" si="292"/>
        <v xml:space="preserve"> </v>
      </c>
      <c r="BH90" s="162" t="str">
        <f t="shared" si="293"/>
        <v xml:space="preserve"> </v>
      </c>
      <c r="BI90" s="162" t="str">
        <f t="shared" si="294"/>
        <v xml:space="preserve"> </v>
      </c>
      <c r="BJ90" s="162" t="str">
        <f t="shared" si="295"/>
        <v xml:space="preserve"> </v>
      </c>
      <c r="BK90" s="172" t="str">
        <f t="shared" si="296"/>
        <v xml:space="preserve"> </v>
      </c>
      <c r="BL90" s="185"/>
      <c r="BM90" s="160">
        <v>18287</v>
      </c>
      <c r="BN90" s="195" t="s">
        <v>17</v>
      </c>
      <c r="BO90" s="178" t="str">
        <f t="shared" si="297"/>
        <v xml:space="preserve"> </v>
      </c>
      <c r="BP90" s="162" t="str">
        <f t="shared" si="298"/>
        <v xml:space="preserve"> </v>
      </c>
      <c r="BQ90" s="162" t="str">
        <f t="shared" si="299"/>
        <v xml:space="preserve"> </v>
      </c>
      <c r="BR90" s="162" t="str">
        <f t="shared" si="300"/>
        <v xml:space="preserve"> </v>
      </c>
      <c r="BS90" s="162" t="str">
        <f t="shared" si="301"/>
        <v xml:space="preserve"> </v>
      </c>
      <c r="BT90" s="162" t="str">
        <f t="shared" si="302"/>
        <v xml:space="preserve"> </v>
      </c>
      <c r="BU90" s="162" t="str">
        <f t="shared" si="303"/>
        <v xml:space="preserve"> </v>
      </c>
      <c r="BV90" s="162" t="str">
        <f t="shared" si="304"/>
        <v xml:space="preserve"> </v>
      </c>
      <c r="BW90" s="162" t="str">
        <f t="shared" si="305"/>
        <v xml:space="preserve"> </v>
      </c>
      <c r="BX90" s="162" t="str">
        <f t="shared" si="306"/>
        <v xml:space="preserve"> </v>
      </c>
      <c r="BY90" s="162" t="str">
        <f t="shared" si="307"/>
        <v xml:space="preserve"> </v>
      </c>
      <c r="BZ90" s="172" t="str">
        <f t="shared" si="308"/>
        <v xml:space="preserve"> </v>
      </c>
      <c r="CA90" s="189"/>
    </row>
    <row r="91" spans="1:79" ht="15.75" x14ac:dyDescent="0.25">
      <c r="A91" s="199">
        <f t="shared" si="242"/>
        <v>20566</v>
      </c>
      <c r="B91" s="199" t="str">
        <f t="shared" si="243"/>
        <v>NGSA</v>
      </c>
      <c r="C91" s="56" t="str">
        <f t="shared" si="244"/>
        <v xml:space="preserve"> </v>
      </c>
      <c r="D91" s="53" t="str">
        <f t="shared" si="245"/>
        <v xml:space="preserve"> </v>
      </c>
      <c r="E91" s="39" t="str">
        <f t="shared" si="246"/>
        <v xml:space="preserve"> </v>
      </c>
      <c r="F91" s="39" t="str">
        <f t="shared" si="247"/>
        <v xml:space="preserve"> </v>
      </c>
      <c r="G91" s="210" t="str">
        <f t="shared" si="248"/>
        <v xml:space="preserve"> </v>
      </c>
      <c r="I91" s="160">
        <v>20566</v>
      </c>
      <c r="J91" s="195" t="s">
        <v>17</v>
      </c>
      <c r="K91" s="162" t="str">
        <f t="shared" si="249"/>
        <v xml:space="preserve"> </v>
      </c>
      <c r="L91" s="162" t="str">
        <f t="shared" si="250"/>
        <v xml:space="preserve"> </v>
      </c>
      <c r="M91" s="162" t="str">
        <f t="shared" si="251"/>
        <v xml:space="preserve"> </v>
      </c>
      <c r="N91" s="162" t="str">
        <f t="shared" si="252"/>
        <v xml:space="preserve"> </v>
      </c>
      <c r="O91" s="162" t="str">
        <f t="shared" si="253"/>
        <v xml:space="preserve"> </v>
      </c>
      <c r="P91" s="162" t="str">
        <f t="shared" si="254"/>
        <v xml:space="preserve"> </v>
      </c>
      <c r="Q91" s="162" t="str">
        <f t="shared" si="255"/>
        <v xml:space="preserve"> </v>
      </c>
      <c r="R91" s="162" t="str">
        <f t="shared" si="256"/>
        <v xml:space="preserve"> </v>
      </c>
      <c r="S91" s="162" t="str">
        <f t="shared" si="257"/>
        <v xml:space="preserve"> </v>
      </c>
      <c r="T91" s="162" t="str">
        <f t="shared" si="258"/>
        <v xml:space="preserve"> </v>
      </c>
      <c r="U91" s="162" t="str">
        <f t="shared" si="259"/>
        <v xml:space="preserve"> </v>
      </c>
      <c r="V91" s="172" t="str">
        <f t="shared" si="260"/>
        <v xml:space="preserve"> </v>
      </c>
      <c r="W91" s="185"/>
      <c r="X91" s="178" t="str">
        <f t="shared" si="261"/>
        <v xml:space="preserve"> </v>
      </c>
      <c r="Y91" s="162" t="str">
        <f t="shared" si="262"/>
        <v xml:space="preserve"> </v>
      </c>
      <c r="Z91" s="162" t="str">
        <f t="shared" si="263"/>
        <v xml:space="preserve"> </v>
      </c>
      <c r="AA91" s="162" t="str">
        <f t="shared" si="264"/>
        <v xml:space="preserve"> </v>
      </c>
      <c r="AB91" s="162" t="str">
        <f t="shared" si="265"/>
        <v xml:space="preserve"> </v>
      </c>
      <c r="AC91" s="162" t="str">
        <f t="shared" si="266"/>
        <v xml:space="preserve"> </v>
      </c>
      <c r="AD91" s="162" t="str">
        <f t="shared" si="267"/>
        <v xml:space="preserve"> </v>
      </c>
      <c r="AE91" s="162" t="str">
        <f t="shared" si="268"/>
        <v xml:space="preserve"> </v>
      </c>
      <c r="AF91" s="162" t="str">
        <f t="shared" si="269"/>
        <v xml:space="preserve"> </v>
      </c>
      <c r="AG91" s="162" t="str">
        <f t="shared" si="270"/>
        <v xml:space="preserve"> </v>
      </c>
      <c r="AH91" s="162" t="str">
        <f t="shared" si="271"/>
        <v xml:space="preserve"> </v>
      </c>
      <c r="AI91" s="172" t="str">
        <f t="shared" si="272"/>
        <v xml:space="preserve"> </v>
      </c>
      <c r="AJ91" s="185"/>
      <c r="AK91" s="160">
        <v>20566</v>
      </c>
      <c r="AL91" s="195" t="s">
        <v>17</v>
      </c>
      <c r="AM91" s="178" t="str">
        <f t="shared" si="273"/>
        <v xml:space="preserve"> </v>
      </c>
      <c r="AN91" s="162" t="str">
        <f t="shared" si="274"/>
        <v xml:space="preserve"> </v>
      </c>
      <c r="AO91" s="162" t="str">
        <f t="shared" si="275"/>
        <v xml:space="preserve"> </v>
      </c>
      <c r="AP91" s="162" t="str">
        <f t="shared" si="276"/>
        <v xml:space="preserve"> </v>
      </c>
      <c r="AQ91" s="162" t="str">
        <f t="shared" si="277"/>
        <v xml:space="preserve"> </v>
      </c>
      <c r="AR91" s="162" t="str">
        <f t="shared" si="278"/>
        <v xml:space="preserve"> </v>
      </c>
      <c r="AS91" s="162" t="str">
        <f t="shared" si="279"/>
        <v xml:space="preserve"> </v>
      </c>
      <c r="AT91" s="162" t="str">
        <f t="shared" si="280"/>
        <v xml:space="preserve"> </v>
      </c>
      <c r="AU91" s="162" t="str">
        <f t="shared" si="281"/>
        <v xml:space="preserve"> </v>
      </c>
      <c r="AV91" s="162" t="str">
        <f t="shared" si="282"/>
        <v xml:space="preserve"> </v>
      </c>
      <c r="AW91" s="162" t="str">
        <f t="shared" si="283"/>
        <v xml:space="preserve"> </v>
      </c>
      <c r="AX91" s="172" t="str">
        <f t="shared" si="284"/>
        <v xml:space="preserve"> </v>
      </c>
      <c r="AY91" s="185"/>
      <c r="AZ91" s="178" t="str">
        <f t="shared" si="285"/>
        <v xml:space="preserve"> </v>
      </c>
      <c r="BA91" s="162" t="str">
        <f t="shared" si="286"/>
        <v xml:space="preserve"> </v>
      </c>
      <c r="BB91" s="162" t="str">
        <f t="shared" si="287"/>
        <v xml:space="preserve"> </v>
      </c>
      <c r="BC91" s="162" t="str">
        <f t="shared" si="288"/>
        <v xml:space="preserve"> </v>
      </c>
      <c r="BD91" s="162" t="str">
        <f t="shared" si="289"/>
        <v xml:space="preserve"> </v>
      </c>
      <c r="BE91" s="162" t="str">
        <f t="shared" si="290"/>
        <v xml:space="preserve"> </v>
      </c>
      <c r="BF91" s="162" t="str">
        <f t="shared" si="291"/>
        <v xml:space="preserve"> </v>
      </c>
      <c r="BG91" s="162" t="str">
        <f t="shared" si="292"/>
        <v xml:space="preserve"> </v>
      </c>
      <c r="BH91" s="162" t="str">
        <f t="shared" si="293"/>
        <v xml:space="preserve"> </v>
      </c>
      <c r="BI91" s="162" t="str">
        <f t="shared" si="294"/>
        <v xml:space="preserve"> </v>
      </c>
      <c r="BJ91" s="162" t="str">
        <f t="shared" si="295"/>
        <v xml:space="preserve"> </v>
      </c>
      <c r="BK91" s="172" t="str">
        <f t="shared" si="296"/>
        <v xml:space="preserve"> </v>
      </c>
      <c r="BL91" s="185"/>
      <c r="BM91" s="160">
        <v>20566</v>
      </c>
      <c r="BN91" s="195" t="s">
        <v>17</v>
      </c>
      <c r="BO91" s="178" t="str">
        <f t="shared" si="297"/>
        <v xml:space="preserve"> </v>
      </c>
      <c r="BP91" s="162" t="str">
        <f t="shared" si="298"/>
        <v xml:space="preserve"> </v>
      </c>
      <c r="BQ91" s="162" t="str">
        <f t="shared" si="299"/>
        <v xml:space="preserve"> </v>
      </c>
      <c r="BR91" s="162" t="str">
        <f t="shared" si="300"/>
        <v xml:space="preserve"> </v>
      </c>
      <c r="BS91" s="162" t="str">
        <f t="shared" si="301"/>
        <v xml:space="preserve"> </v>
      </c>
      <c r="BT91" s="162" t="str">
        <f t="shared" si="302"/>
        <v xml:space="preserve"> </v>
      </c>
      <c r="BU91" s="162" t="str">
        <f t="shared" si="303"/>
        <v xml:space="preserve"> </v>
      </c>
      <c r="BV91" s="162" t="str">
        <f t="shared" si="304"/>
        <v xml:space="preserve"> </v>
      </c>
      <c r="BW91" s="162" t="str">
        <f t="shared" si="305"/>
        <v xml:space="preserve"> </v>
      </c>
      <c r="BX91" s="162" t="str">
        <f t="shared" si="306"/>
        <v xml:space="preserve"> </v>
      </c>
      <c r="BY91" s="162" t="str">
        <f t="shared" si="307"/>
        <v xml:space="preserve"> </v>
      </c>
      <c r="BZ91" s="172" t="str">
        <f t="shared" si="308"/>
        <v xml:space="preserve"> </v>
      </c>
      <c r="CA91" s="189"/>
    </row>
    <row r="92" spans="1:79" ht="15.75" x14ac:dyDescent="0.25">
      <c r="A92" s="199">
        <f t="shared" si="242"/>
        <v>25541</v>
      </c>
      <c r="B92" s="199" t="str">
        <f t="shared" si="243"/>
        <v>NGSA</v>
      </c>
      <c r="C92" s="56" t="str">
        <f t="shared" si="244"/>
        <v xml:space="preserve"> </v>
      </c>
      <c r="D92" s="53" t="str">
        <f t="shared" si="245"/>
        <v xml:space="preserve"> </v>
      </c>
      <c r="E92" s="39" t="str">
        <f t="shared" si="246"/>
        <v xml:space="preserve"> </v>
      </c>
      <c r="F92" s="39" t="str">
        <f t="shared" si="247"/>
        <v xml:space="preserve"> </v>
      </c>
      <c r="G92" s="210" t="str">
        <f t="shared" si="248"/>
        <v xml:space="preserve"> </v>
      </c>
      <c r="I92" s="160">
        <v>25541</v>
      </c>
      <c r="J92" s="195" t="s">
        <v>17</v>
      </c>
      <c r="K92" s="162" t="str">
        <f t="shared" si="249"/>
        <v xml:space="preserve"> </v>
      </c>
      <c r="L92" s="162" t="str">
        <f t="shared" si="250"/>
        <v xml:space="preserve"> </v>
      </c>
      <c r="M92" s="162" t="str">
        <f t="shared" si="251"/>
        <v xml:space="preserve"> </v>
      </c>
      <c r="N92" s="162" t="str">
        <f t="shared" si="252"/>
        <v xml:space="preserve"> </v>
      </c>
      <c r="O92" s="162" t="str">
        <f t="shared" si="253"/>
        <v xml:space="preserve"> </v>
      </c>
      <c r="P92" s="162" t="str">
        <f t="shared" si="254"/>
        <v xml:space="preserve"> </v>
      </c>
      <c r="Q92" s="162" t="str">
        <f t="shared" si="255"/>
        <v xml:space="preserve"> </v>
      </c>
      <c r="R92" s="162" t="str">
        <f t="shared" si="256"/>
        <v xml:space="preserve"> </v>
      </c>
      <c r="S92" s="162" t="e">
        <f t="shared" si="257"/>
        <v>#N/A</v>
      </c>
      <c r="T92" s="162" t="e">
        <f t="shared" si="258"/>
        <v>#N/A</v>
      </c>
      <c r="U92" s="162" t="e">
        <f t="shared" si="259"/>
        <v>#N/A</v>
      </c>
      <c r="V92" s="172" t="str">
        <f t="shared" si="260"/>
        <v xml:space="preserve"> </v>
      </c>
      <c r="W92" s="185"/>
      <c r="X92" s="178" t="str">
        <f t="shared" si="261"/>
        <v xml:space="preserve"> </v>
      </c>
      <c r="Y92" s="162" t="str">
        <f t="shared" si="262"/>
        <v xml:space="preserve"> </v>
      </c>
      <c r="Z92" s="162" t="str">
        <f t="shared" si="263"/>
        <v xml:space="preserve"> </v>
      </c>
      <c r="AA92" s="162" t="str">
        <f t="shared" si="264"/>
        <v xml:space="preserve"> </v>
      </c>
      <c r="AB92" s="162" t="str">
        <f t="shared" si="265"/>
        <v xml:space="preserve"> </v>
      </c>
      <c r="AC92" s="162" t="str">
        <f t="shared" si="266"/>
        <v xml:space="preserve"> </v>
      </c>
      <c r="AD92" s="162" t="str">
        <f t="shared" si="267"/>
        <v xml:space="preserve"> </v>
      </c>
      <c r="AE92" s="162" t="str">
        <f t="shared" si="268"/>
        <v xml:space="preserve"> </v>
      </c>
      <c r="AF92" s="162" t="e">
        <f t="shared" si="269"/>
        <v>#N/A</v>
      </c>
      <c r="AG92" s="162" t="e">
        <f t="shared" si="270"/>
        <v>#N/A</v>
      </c>
      <c r="AH92" s="162" t="e">
        <f t="shared" si="271"/>
        <v>#N/A</v>
      </c>
      <c r="AI92" s="172" t="str">
        <f t="shared" si="272"/>
        <v xml:space="preserve"> </v>
      </c>
      <c r="AJ92" s="185"/>
      <c r="AK92" s="160">
        <v>25541</v>
      </c>
      <c r="AL92" s="195" t="s">
        <v>17</v>
      </c>
      <c r="AM92" s="178" t="str">
        <f t="shared" si="273"/>
        <v xml:space="preserve"> </v>
      </c>
      <c r="AN92" s="162" t="str">
        <f t="shared" si="274"/>
        <v xml:space="preserve"> </v>
      </c>
      <c r="AO92" s="162" t="str">
        <f t="shared" si="275"/>
        <v xml:space="preserve"> </v>
      </c>
      <c r="AP92" s="162" t="str">
        <f t="shared" si="276"/>
        <v xml:space="preserve"> </v>
      </c>
      <c r="AQ92" s="162" t="str">
        <f t="shared" si="277"/>
        <v xml:space="preserve"> </v>
      </c>
      <c r="AR92" s="162" t="str">
        <f t="shared" si="278"/>
        <v xml:space="preserve"> </v>
      </c>
      <c r="AS92" s="162" t="str">
        <f t="shared" si="279"/>
        <v xml:space="preserve"> </v>
      </c>
      <c r="AT92" s="162" t="str">
        <f t="shared" si="280"/>
        <v xml:space="preserve"> </v>
      </c>
      <c r="AU92" s="162" t="e">
        <f t="shared" si="281"/>
        <v>#N/A</v>
      </c>
      <c r="AV92" s="162" t="e">
        <f t="shared" si="282"/>
        <v>#N/A</v>
      </c>
      <c r="AW92" s="162" t="e">
        <f t="shared" si="283"/>
        <v>#N/A</v>
      </c>
      <c r="AX92" s="172" t="str">
        <f t="shared" si="284"/>
        <v xml:space="preserve"> </v>
      </c>
      <c r="AY92" s="185"/>
      <c r="AZ92" s="178" t="str">
        <f t="shared" si="285"/>
        <v xml:space="preserve"> </v>
      </c>
      <c r="BA92" s="162" t="str">
        <f t="shared" si="286"/>
        <v xml:space="preserve"> </v>
      </c>
      <c r="BB92" s="162" t="str">
        <f t="shared" si="287"/>
        <v xml:space="preserve"> </v>
      </c>
      <c r="BC92" s="162" t="str">
        <f t="shared" si="288"/>
        <v xml:space="preserve"> </v>
      </c>
      <c r="BD92" s="162" t="str">
        <f t="shared" si="289"/>
        <v xml:space="preserve"> </v>
      </c>
      <c r="BE92" s="162" t="str">
        <f t="shared" si="290"/>
        <v xml:space="preserve"> </v>
      </c>
      <c r="BF92" s="162" t="str">
        <f t="shared" si="291"/>
        <v xml:space="preserve"> </v>
      </c>
      <c r="BG92" s="162" t="str">
        <f t="shared" si="292"/>
        <v xml:space="preserve"> </v>
      </c>
      <c r="BH92" s="162" t="e">
        <f t="shared" si="293"/>
        <v>#N/A</v>
      </c>
      <c r="BI92" s="162" t="e">
        <f t="shared" si="294"/>
        <v>#N/A</v>
      </c>
      <c r="BJ92" s="162" t="e">
        <f t="shared" si="295"/>
        <v>#N/A</v>
      </c>
      <c r="BK92" s="172" t="str">
        <f t="shared" si="296"/>
        <v xml:space="preserve"> </v>
      </c>
      <c r="BL92" s="185"/>
      <c r="BM92" s="160">
        <v>25541</v>
      </c>
      <c r="BN92" s="195" t="s">
        <v>17</v>
      </c>
      <c r="BO92" s="178" t="str">
        <f t="shared" si="297"/>
        <v xml:space="preserve"> </v>
      </c>
      <c r="BP92" s="162" t="str">
        <f t="shared" si="298"/>
        <v xml:space="preserve"> </v>
      </c>
      <c r="BQ92" s="162" t="str">
        <f t="shared" si="299"/>
        <v xml:space="preserve"> </v>
      </c>
      <c r="BR92" s="162" t="str">
        <f t="shared" si="300"/>
        <v xml:space="preserve"> </v>
      </c>
      <c r="BS92" s="162" t="str">
        <f t="shared" si="301"/>
        <v xml:space="preserve"> </v>
      </c>
      <c r="BT92" s="162" t="str">
        <f t="shared" si="302"/>
        <v xml:space="preserve"> </v>
      </c>
      <c r="BU92" s="162" t="str">
        <f t="shared" si="303"/>
        <v xml:space="preserve"> </v>
      </c>
      <c r="BV92" s="162" t="str">
        <f t="shared" si="304"/>
        <v xml:space="preserve"> </v>
      </c>
      <c r="BW92" s="162" t="e">
        <f t="shared" si="305"/>
        <v>#N/A</v>
      </c>
      <c r="BX92" s="162" t="e">
        <f t="shared" si="306"/>
        <v>#N/A</v>
      </c>
      <c r="BY92" s="162" t="e">
        <f t="shared" si="307"/>
        <v>#N/A</v>
      </c>
      <c r="BZ92" s="172" t="str">
        <f t="shared" si="308"/>
        <v xml:space="preserve"> </v>
      </c>
      <c r="CA92" s="189"/>
    </row>
    <row r="93" spans="1:79" ht="15.75" x14ac:dyDescent="0.25">
      <c r="A93" s="199">
        <f t="shared" si="242"/>
        <v>28369</v>
      </c>
      <c r="B93" s="199" t="str">
        <f t="shared" si="243"/>
        <v>NGSA</v>
      </c>
      <c r="C93" s="56" t="str">
        <f t="shared" si="244"/>
        <v xml:space="preserve"> </v>
      </c>
      <c r="D93" s="53" t="str">
        <f t="shared" si="245"/>
        <v xml:space="preserve"> </v>
      </c>
      <c r="E93" s="39" t="str">
        <f t="shared" si="246"/>
        <v xml:space="preserve"> </v>
      </c>
      <c r="F93" s="39" t="str">
        <f t="shared" si="247"/>
        <v xml:space="preserve"> </v>
      </c>
      <c r="G93" s="210" t="str">
        <f t="shared" si="248"/>
        <v xml:space="preserve"> </v>
      </c>
      <c r="I93" s="160">
        <v>28369</v>
      </c>
      <c r="J93" s="195" t="s">
        <v>17</v>
      </c>
      <c r="K93" s="162" t="str">
        <f t="shared" si="249"/>
        <v xml:space="preserve"> </v>
      </c>
      <c r="L93" s="162" t="str">
        <f t="shared" si="250"/>
        <v xml:space="preserve"> </v>
      </c>
      <c r="M93" s="162" t="str">
        <f t="shared" si="251"/>
        <v xml:space="preserve"> </v>
      </c>
      <c r="N93" s="162" t="str">
        <f t="shared" si="252"/>
        <v xml:space="preserve"> </v>
      </c>
      <c r="O93" s="162" t="str">
        <f t="shared" si="253"/>
        <v xml:space="preserve"> </v>
      </c>
      <c r="P93" s="162" t="e">
        <f t="shared" si="254"/>
        <v>#N/A</v>
      </c>
      <c r="Q93" s="162" t="e">
        <f t="shared" si="255"/>
        <v>#N/A</v>
      </c>
      <c r="R93" s="162" t="e">
        <f t="shared" si="256"/>
        <v>#N/A</v>
      </c>
      <c r="S93" s="162" t="e">
        <f t="shared" si="257"/>
        <v>#N/A</v>
      </c>
      <c r="T93" s="162" t="e">
        <f t="shared" si="258"/>
        <v>#N/A</v>
      </c>
      <c r="U93" s="162" t="e">
        <f t="shared" si="259"/>
        <v>#N/A</v>
      </c>
      <c r="V93" s="172" t="str">
        <f t="shared" si="260"/>
        <v xml:space="preserve"> </v>
      </c>
      <c r="W93" s="185"/>
      <c r="X93" s="178" t="str">
        <f t="shared" si="261"/>
        <v xml:space="preserve"> </v>
      </c>
      <c r="Y93" s="162" t="str">
        <f t="shared" si="262"/>
        <v xml:space="preserve"> </v>
      </c>
      <c r="Z93" s="162" t="str">
        <f t="shared" si="263"/>
        <v xml:space="preserve"> </v>
      </c>
      <c r="AA93" s="162" t="str">
        <f t="shared" si="264"/>
        <v xml:space="preserve"> </v>
      </c>
      <c r="AB93" s="162" t="str">
        <f t="shared" si="265"/>
        <v xml:space="preserve"> </v>
      </c>
      <c r="AC93" s="162" t="e">
        <f t="shared" si="266"/>
        <v>#N/A</v>
      </c>
      <c r="AD93" s="162" t="e">
        <f t="shared" si="267"/>
        <v>#N/A</v>
      </c>
      <c r="AE93" s="162" t="e">
        <f t="shared" si="268"/>
        <v>#N/A</v>
      </c>
      <c r="AF93" s="162" t="e">
        <f t="shared" si="269"/>
        <v>#N/A</v>
      </c>
      <c r="AG93" s="162" t="e">
        <f t="shared" si="270"/>
        <v>#N/A</v>
      </c>
      <c r="AH93" s="162" t="e">
        <f t="shared" si="271"/>
        <v>#N/A</v>
      </c>
      <c r="AI93" s="172" t="str">
        <f t="shared" si="272"/>
        <v xml:space="preserve"> </v>
      </c>
      <c r="AJ93" s="185"/>
      <c r="AK93" s="160">
        <v>28369</v>
      </c>
      <c r="AL93" s="195" t="s">
        <v>17</v>
      </c>
      <c r="AM93" s="178" t="str">
        <f t="shared" si="273"/>
        <v xml:space="preserve"> </v>
      </c>
      <c r="AN93" s="162" t="str">
        <f t="shared" si="274"/>
        <v xml:space="preserve"> </v>
      </c>
      <c r="AO93" s="162" t="str">
        <f t="shared" si="275"/>
        <v xml:space="preserve"> </v>
      </c>
      <c r="AP93" s="162" t="str">
        <f t="shared" si="276"/>
        <v xml:space="preserve"> </v>
      </c>
      <c r="AQ93" s="162" t="str">
        <f t="shared" si="277"/>
        <v xml:space="preserve"> </v>
      </c>
      <c r="AR93" s="162" t="e">
        <f t="shared" si="278"/>
        <v>#N/A</v>
      </c>
      <c r="AS93" s="162" t="e">
        <f t="shared" si="279"/>
        <v>#N/A</v>
      </c>
      <c r="AT93" s="162" t="e">
        <f t="shared" si="280"/>
        <v>#N/A</v>
      </c>
      <c r="AU93" s="162" t="e">
        <f t="shared" si="281"/>
        <v>#N/A</v>
      </c>
      <c r="AV93" s="162" t="e">
        <f t="shared" si="282"/>
        <v>#N/A</v>
      </c>
      <c r="AW93" s="162" t="e">
        <f t="shared" si="283"/>
        <v>#N/A</v>
      </c>
      <c r="AX93" s="172" t="str">
        <f t="shared" si="284"/>
        <v xml:space="preserve"> </v>
      </c>
      <c r="AY93" s="185"/>
      <c r="AZ93" s="178" t="str">
        <f t="shared" si="285"/>
        <v xml:space="preserve"> </v>
      </c>
      <c r="BA93" s="162" t="str">
        <f t="shared" si="286"/>
        <v xml:space="preserve"> </v>
      </c>
      <c r="BB93" s="162" t="str">
        <f t="shared" si="287"/>
        <v xml:space="preserve"> </v>
      </c>
      <c r="BC93" s="162" t="str">
        <f t="shared" si="288"/>
        <v xml:space="preserve"> </v>
      </c>
      <c r="BD93" s="162" t="str">
        <f t="shared" si="289"/>
        <v xml:space="preserve"> </v>
      </c>
      <c r="BE93" s="162" t="e">
        <f t="shared" si="290"/>
        <v>#N/A</v>
      </c>
      <c r="BF93" s="162" t="e">
        <f t="shared" si="291"/>
        <v>#N/A</v>
      </c>
      <c r="BG93" s="162" t="e">
        <f t="shared" si="292"/>
        <v>#N/A</v>
      </c>
      <c r="BH93" s="162" t="e">
        <f t="shared" si="293"/>
        <v>#N/A</v>
      </c>
      <c r="BI93" s="162" t="e">
        <f t="shared" si="294"/>
        <v>#N/A</v>
      </c>
      <c r="BJ93" s="162" t="e">
        <f t="shared" si="295"/>
        <v>#N/A</v>
      </c>
      <c r="BK93" s="172" t="str">
        <f t="shared" si="296"/>
        <v xml:space="preserve"> </v>
      </c>
      <c r="BL93" s="185"/>
      <c r="BM93" s="160">
        <v>28369</v>
      </c>
      <c r="BN93" s="195" t="s">
        <v>17</v>
      </c>
      <c r="BO93" s="178" t="str">
        <f t="shared" si="297"/>
        <v xml:space="preserve"> </v>
      </c>
      <c r="BP93" s="162" t="str">
        <f t="shared" si="298"/>
        <v xml:space="preserve"> </v>
      </c>
      <c r="BQ93" s="162" t="str">
        <f t="shared" si="299"/>
        <v xml:space="preserve"> </v>
      </c>
      <c r="BR93" s="162" t="str">
        <f t="shared" si="300"/>
        <v xml:space="preserve"> </v>
      </c>
      <c r="BS93" s="162" t="str">
        <f t="shared" si="301"/>
        <v xml:space="preserve"> </v>
      </c>
      <c r="BT93" s="162" t="e">
        <f t="shared" si="302"/>
        <v>#N/A</v>
      </c>
      <c r="BU93" s="162" t="e">
        <f t="shared" si="303"/>
        <v>#N/A</v>
      </c>
      <c r="BV93" s="162" t="e">
        <f t="shared" si="304"/>
        <v>#N/A</v>
      </c>
      <c r="BW93" s="162" t="e">
        <f t="shared" si="305"/>
        <v>#N/A</v>
      </c>
      <c r="BX93" s="162" t="e">
        <f t="shared" si="306"/>
        <v>#N/A</v>
      </c>
      <c r="BY93" s="162" t="e">
        <f t="shared" si="307"/>
        <v>#N/A</v>
      </c>
      <c r="BZ93" s="172" t="str">
        <f t="shared" si="308"/>
        <v xml:space="preserve"> </v>
      </c>
      <c r="CA93" s="189"/>
    </row>
    <row r="94" spans="1:79" ht="16.5" thickBot="1" x14ac:dyDescent="0.3">
      <c r="A94" s="199">
        <f t="shared" si="242"/>
        <v>28729</v>
      </c>
      <c r="B94" s="199" t="str">
        <f t="shared" si="243"/>
        <v>NGSA</v>
      </c>
      <c r="C94" s="56">
        <f t="shared" si="244"/>
        <v>1</v>
      </c>
      <c r="D94" s="53">
        <f t="shared" si="245"/>
        <v>3</v>
      </c>
      <c r="E94" s="39">
        <f t="shared" si="246"/>
        <v>3</v>
      </c>
      <c r="F94" s="39">
        <f t="shared" si="247"/>
        <v>3</v>
      </c>
      <c r="G94" s="210" t="str">
        <f t="shared" si="248"/>
        <v xml:space="preserve"> </v>
      </c>
      <c r="I94" s="167">
        <v>28729</v>
      </c>
      <c r="J94" s="196" t="s">
        <v>17</v>
      </c>
      <c r="K94" s="168" t="e">
        <f t="shared" si="249"/>
        <v>#N/A</v>
      </c>
      <c r="L94" s="168" t="e">
        <f t="shared" si="250"/>
        <v>#N/A</v>
      </c>
      <c r="M94" s="168" t="e">
        <f t="shared" si="251"/>
        <v>#N/A</v>
      </c>
      <c r="N94" s="168" t="e">
        <f t="shared" si="252"/>
        <v>#N/A</v>
      </c>
      <c r="O94" s="168" t="e">
        <f t="shared" si="253"/>
        <v>#N/A</v>
      </c>
      <c r="P94" s="168" t="str">
        <f t="shared" si="254"/>
        <v>X</v>
      </c>
      <c r="Q94" s="168" t="str">
        <f t="shared" si="255"/>
        <v xml:space="preserve"> </v>
      </c>
      <c r="R94" s="168" t="str">
        <f t="shared" si="256"/>
        <v xml:space="preserve"> </v>
      </c>
      <c r="S94" s="168" t="str">
        <f t="shared" si="257"/>
        <v xml:space="preserve"> </v>
      </c>
      <c r="T94" s="168" t="e">
        <f t="shared" si="258"/>
        <v>#N/A</v>
      </c>
      <c r="U94" s="168" t="e">
        <f t="shared" si="259"/>
        <v>#N/A</v>
      </c>
      <c r="V94" s="173">
        <f t="shared" si="260"/>
        <v>1</v>
      </c>
      <c r="W94" s="185"/>
      <c r="X94" s="179" t="e">
        <f t="shared" si="261"/>
        <v>#N/A</v>
      </c>
      <c r="Y94" s="168" t="e">
        <f t="shared" si="262"/>
        <v>#N/A</v>
      </c>
      <c r="Z94" s="168" t="e">
        <f t="shared" si="263"/>
        <v>#N/A</v>
      </c>
      <c r="AA94" s="168" t="e">
        <f t="shared" si="264"/>
        <v>#N/A</v>
      </c>
      <c r="AB94" s="168" t="e">
        <f t="shared" si="265"/>
        <v>#N/A</v>
      </c>
      <c r="AC94" s="168" t="str">
        <f t="shared" si="266"/>
        <v xml:space="preserve"> </v>
      </c>
      <c r="AD94" s="168" t="str">
        <f t="shared" si="267"/>
        <v>X</v>
      </c>
      <c r="AE94" s="168" t="str">
        <f t="shared" si="268"/>
        <v>X</v>
      </c>
      <c r="AF94" s="168" t="str">
        <f t="shared" si="269"/>
        <v>X</v>
      </c>
      <c r="AG94" s="168" t="e">
        <f t="shared" si="270"/>
        <v>#N/A</v>
      </c>
      <c r="AH94" s="168" t="e">
        <f t="shared" si="271"/>
        <v>#N/A</v>
      </c>
      <c r="AI94" s="173">
        <f t="shared" si="272"/>
        <v>3</v>
      </c>
      <c r="AJ94" s="185"/>
      <c r="AK94" s="167">
        <v>28729</v>
      </c>
      <c r="AL94" s="196" t="s">
        <v>17</v>
      </c>
      <c r="AM94" s="179" t="e">
        <f t="shared" si="273"/>
        <v>#N/A</v>
      </c>
      <c r="AN94" s="168" t="e">
        <f t="shared" si="274"/>
        <v>#N/A</v>
      </c>
      <c r="AO94" s="168" t="e">
        <f t="shared" si="275"/>
        <v>#N/A</v>
      </c>
      <c r="AP94" s="168" t="e">
        <f t="shared" si="276"/>
        <v>#N/A</v>
      </c>
      <c r="AQ94" s="168" t="e">
        <f t="shared" si="277"/>
        <v>#N/A</v>
      </c>
      <c r="AR94" s="168" t="str">
        <f t="shared" si="278"/>
        <v xml:space="preserve"> </v>
      </c>
      <c r="AS94" s="168" t="str">
        <f t="shared" si="279"/>
        <v xml:space="preserve"> </v>
      </c>
      <c r="AT94" s="168" t="str">
        <f t="shared" si="280"/>
        <v xml:space="preserve"> </v>
      </c>
      <c r="AU94" s="168" t="str">
        <f t="shared" si="281"/>
        <v xml:space="preserve"> </v>
      </c>
      <c r="AV94" s="168" t="e">
        <f t="shared" si="282"/>
        <v>#N/A</v>
      </c>
      <c r="AW94" s="168" t="e">
        <f t="shared" si="283"/>
        <v>#N/A</v>
      </c>
      <c r="AX94" s="173" t="str">
        <f t="shared" si="284"/>
        <v xml:space="preserve"> </v>
      </c>
      <c r="AY94" s="185"/>
      <c r="AZ94" s="179" t="e">
        <f t="shared" si="285"/>
        <v>#N/A</v>
      </c>
      <c r="BA94" s="168" t="e">
        <f t="shared" si="286"/>
        <v>#N/A</v>
      </c>
      <c r="BB94" s="168" t="e">
        <f t="shared" si="287"/>
        <v>#N/A</v>
      </c>
      <c r="BC94" s="168" t="e">
        <f t="shared" si="288"/>
        <v>#N/A</v>
      </c>
      <c r="BD94" s="168" t="e">
        <f t="shared" si="289"/>
        <v>#N/A</v>
      </c>
      <c r="BE94" s="168" t="str">
        <f t="shared" si="290"/>
        <v xml:space="preserve"> </v>
      </c>
      <c r="BF94" s="168" t="str">
        <f t="shared" si="291"/>
        <v>X</v>
      </c>
      <c r="BG94" s="168" t="str">
        <f t="shared" si="292"/>
        <v>X</v>
      </c>
      <c r="BH94" s="168" t="str">
        <f t="shared" si="293"/>
        <v>X</v>
      </c>
      <c r="BI94" s="168" t="e">
        <f t="shared" si="294"/>
        <v>#N/A</v>
      </c>
      <c r="BJ94" s="168" t="e">
        <f t="shared" si="295"/>
        <v>#N/A</v>
      </c>
      <c r="BK94" s="173">
        <f t="shared" si="296"/>
        <v>3</v>
      </c>
      <c r="BL94" s="185"/>
      <c r="BM94" s="167">
        <v>28729</v>
      </c>
      <c r="BN94" s="196" t="s">
        <v>17</v>
      </c>
      <c r="BO94" s="179" t="e">
        <f t="shared" si="297"/>
        <v>#N/A</v>
      </c>
      <c r="BP94" s="168" t="e">
        <f t="shared" si="298"/>
        <v>#N/A</v>
      </c>
      <c r="BQ94" s="168" t="e">
        <f t="shared" si="299"/>
        <v>#N/A</v>
      </c>
      <c r="BR94" s="168" t="e">
        <f t="shared" si="300"/>
        <v>#N/A</v>
      </c>
      <c r="BS94" s="168" t="e">
        <f t="shared" si="301"/>
        <v>#N/A</v>
      </c>
      <c r="BT94" s="168" t="str">
        <f t="shared" si="302"/>
        <v xml:space="preserve"> </v>
      </c>
      <c r="BU94" s="168" t="str">
        <f t="shared" si="303"/>
        <v>X</v>
      </c>
      <c r="BV94" s="168" t="str">
        <f t="shared" si="304"/>
        <v>X</v>
      </c>
      <c r="BW94" s="168" t="str">
        <f t="shared" si="305"/>
        <v>X</v>
      </c>
      <c r="BX94" s="168" t="e">
        <f t="shared" si="306"/>
        <v>#N/A</v>
      </c>
      <c r="BY94" s="168" t="e">
        <f t="shared" si="307"/>
        <v>#N/A</v>
      </c>
      <c r="BZ94" s="173">
        <f t="shared" si="308"/>
        <v>3</v>
      </c>
      <c r="CA94" s="189"/>
    </row>
    <row r="95" spans="1:79" s="3" customFormat="1" ht="22.5" customHeight="1" thickTop="1" x14ac:dyDescent="0.25">
      <c r="A95" s="68" t="s">
        <v>18</v>
      </c>
      <c r="B95" s="69"/>
      <c r="C95" s="70">
        <f>SUM(C7:C94)</f>
        <v>45</v>
      </c>
      <c r="D95" s="200">
        <f>SUM(D7:D94)</f>
        <v>92</v>
      </c>
      <c r="E95" s="201">
        <f>SUM(E7:E94)</f>
        <v>121</v>
      </c>
      <c r="F95" s="201">
        <f>SUM(F7:F94)</f>
        <v>154</v>
      </c>
      <c r="G95" s="202">
        <f>SUM(G7:G94)</f>
        <v>23</v>
      </c>
      <c r="I95" s="165" t="s">
        <v>18</v>
      </c>
      <c r="J95" s="197"/>
      <c r="K95" s="166">
        <f t="shared" ref="K95:U95" si="309">COUNTIF(K7:K94,"x")</f>
        <v>0</v>
      </c>
      <c r="L95" s="166">
        <f t="shared" si="309"/>
        <v>6</v>
      </c>
      <c r="M95" s="166">
        <f t="shared" si="309"/>
        <v>6</v>
      </c>
      <c r="N95" s="166">
        <f t="shared" si="309"/>
        <v>5</v>
      </c>
      <c r="O95" s="166">
        <f t="shared" si="309"/>
        <v>8</v>
      </c>
      <c r="P95" s="166">
        <f t="shared" si="309"/>
        <v>9</v>
      </c>
      <c r="Q95" s="166">
        <f t="shared" si="309"/>
        <v>0</v>
      </c>
      <c r="R95" s="166">
        <f t="shared" si="309"/>
        <v>0</v>
      </c>
      <c r="S95" s="166">
        <f t="shared" si="309"/>
        <v>5</v>
      </c>
      <c r="T95" s="166">
        <f t="shared" si="309"/>
        <v>6</v>
      </c>
      <c r="U95" s="166">
        <f t="shared" si="309"/>
        <v>0</v>
      </c>
      <c r="V95" s="174">
        <f>SUM(K95:U95)</f>
        <v>45</v>
      </c>
      <c r="W95" s="185"/>
      <c r="X95" s="180">
        <f t="shared" ref="X95:AH95" si="310">COUNTIF(X7:X94,"x")</f>
        <v>9</v>
      </c>
      <c r="Y95" s="166">
        <f t="shared" si="310"/>
        <v>9</v>
      </c>
      <c r="Z95" s="166">
        <f t="shared" si="310"/>
        <v>7</v>
      </c>
      <c r="AA95" s="166">
        <f t="shared" si="310"/>
        <v>7</v>
      </c>
      <c r="AB95" s="166">
        <f t="shared" si="310"/>
        <v>10</v>
      </c>
      <c r="AC95" s="166">
        <f t="shared" si="310"/>
        <v>9</v>
      </c>
      <c r="AD95" s="166">
        <f t="shared" si="310"/>
        <v>9</v>
      </c>
      <c r="AE95" s="166">
        <f t="shared" si="310"/>
        <v>9</v>
      </c>
      <c r="AF95" s="166">
        <f t="shared" si="310"/>
        <v>6</v>
      </c>
      <c r="AG95" s="166">
        <f t="shared" si="310"/>
        <v>7</v>
      </c>
      <c r="AH95" s="166">
        <f t="shared" si="310"/>
        <v>10</v>
      </c>
      <c r="AI95" s="174">
        <f>SUM(X95:AH95)</f>
        <v>92</v>
      </c>
      <c r="AJ95" s="185"/>
      <c r="AK95" s="165" t="s">
        <v>18</v>
      </c>
      <c r="AL95" s="197"/>
      <c r="AM95" s="180">
        <f t="shared" ref="AM95:AW95" si="311">COUNTIF(AM7:AM94,"x")</f>
        <v>0</v>
      </c>
      <c r="AN95" s="166">
        <f t="shared" si="311"/>
        <v>4</v>
      </c>
      <c r="AO95" s="166">
        <f t="shared" si="311"/>
        <v>3</v>
      </c>
      <c r="AP95" s="166">
        <f t="shared" si="311"/>
        <v>4</v>
      </c>
      <c r="AQ95" s="166">
        <f t="shared" si="311"/>
        <v>2</v>
      </c>
      <c r="AR95" s="166">
        <f t="shared" si="311"/>
        <v>1</v>
      </c>
      <c r="AS95" s="166">
        <f t="shared" si="311"/>
        <v>0</v>
      </c>
      <c r="AT95" s="166">
        <f t="shared" si="311"/>
        <v>0</v>
      </c>
      <c r="AU95" s="166">
        <f t="shared" si="311"/>
        <v>6</v>
      </c>
      <c r="AV95" s="166">
        <f t="shared" si="311"/>
        <v>3</v>
      </c>
      <c r="AW95" s="166">
        <f t="shared" si="311"/>
        <v>0</v>
      </c>
      <c r="AX95" s="174">
        <f>SUM(AM95:AW95)</f>
        <v>23</v>
      </c>
      <c r="AY95" s="185"/>
      <c r="AZ95" s="180">
        <f t="shared" ref="AZ95:BJ95" si="312">COUNTIF(AZ7:AZ94,"x")</f>
        <v>10</v>
      </c>
      <c r="BA95" s="166">
        <f t="shared" si="312"/>
        <v>11</v>
      </c>
      <c r="BB95" s="166">
        <f t="shared" si="312"/>
        <v>9</v>
      </c>
      <c r="BC95" s="166">
        <f t="shared" si="312"/>
        <v>10</v>
      </c>
      <c r="BD95" s="166">
        <f t="shared" si="312"/>
        <v>13</v>
      </c>
      <c r="BE95" s="166">
        <f t="shared" si="312"/>
        <v>13</v>
      </c>
      <c r="BF95" s="166">
        <f t="shared" si="312"/>
        <v>14</v>
      </c>
      <c r="BG95" s="166">
        <f t="shared" si="312"/>
        <v>10</v>
      </c>
      <c r="BH95" s="166">
        <f t="shared" si="312"/>
        <v>7</v>
      </c>
      <c r="BI95" s="166">
        <f t="shared" si="312"/>
        <v>11</v>
      </c>
      <c r="BJ95" s="166">
        <f t="shared" si="312"/>
        <v>13</v>
      </c>
      <c r="BK95" s="174">
        <f>SUM(AZ95:BJ95)</f>
        <v>121</v>
      </c>
      <c r="BL95" s="185"/>
      <c r="BM95" s="165" t="s">
        <v>18</v>
      </c>
      <c r="BN95" s="197"/>
      <c r="BO95" s="180">
        <f t="shared" ref="BO95:BY95" si="313">COUNTIF(BO7:BO94,"x")</f>
        <v>9</v>
      </c>
      <c r="BP95" s="166">
        <f t="shared" si="313"/>
        <v>13</v>
      </c>
      <c r="BQ95" s="166">
        <f t="shared" si="313"/>
        <v>12</v>
      </c>
      <c r="BR95" s="166">
        <f t="shared" si="313"/>
        <v>17</v>
      </c>
      <c r="BS95" s="166">
        <f t="shared" si="313"/>
        <v>14</v>
      </c>
      <c r="BT95" s="166">
        <f t="shared" si="313"/>
        <v>17</v>
      </c>
      <c r="BU95" s="166">
        <f t="shared" si="313"/>
        <v>14</v>
      </c>
      <c r="BV95" s="166">
        <f t="shared" si="313"/>
        <v>13</v>
      </c>
      <c r="BW95" s="166">
        <f t="shared" si="313"/>
        <v>13</v>
      </c>
      <c r="BX95" s="166">
        <f t="shared" si="313"/>
        <v>13</v>
      </c>
      <c r="BY95" s="166">
        <f t="shared" si="313"/>
        <v>19</v>
      </c>
      <c r="BZ95" s="174">
        <f>SUM(BO95:BY95)</f>
        <v>154</v>
      </c>
      <c r="CA95" s="187"/>
    </row>
    <row r="96" spans="1:79" s="29" customFormat="1" ht="20.25" customHeight="1" x14ac:dyDescent="0.2">
      <c r="A96" s="47"/>
      <c r="B96" s="47"/>
      <c r="C96" s="31"/>
      <c r="D96" s="31"/>
      <c r="E96" s="31"/>
      <c r="F96" s="31"/>
      <c r="G96" s="31"/>
      <c r="I96" s="161"/>
      <c r="J96" s="195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82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82"/>
      <c r="AK96" s="161"/>
      <c r="AL96" s="195"/>
      <c r="AM96" s="161"/>
      <c r="AN96" s="161"/>
      <c r="AO96" s="161"/>
      <c r="AP96" s="161"/>
      <c r="AQ96" s="161"/>
      <c r="AR96" s="161"/>
      <c r="AS96" s="161"/>
      <c r="AT96" s="161"/>
      <c r="AU96" s="161"/>
      <c r="AV96" s="161"/>
      <c r="AW96" s="161"/>
      <c r="AX96" s="161"/>
      <c r="AY96" s="182"/>
      <c r="AZ96" s="161"/>
      <c r="BA96" s="161"/>
      <c r="BB96" s="161"/>
      <c r="BC96" s="161"/>
      <c r="BD96" s="161"/>
      <c r="BE96" s="161"/>
      <c r="BF96" s="161"/>
      <c r="BG96" s="161"/>
      <c r="BH96" s="161"/>
      <c r="BI96" s="161"/>
      <c r="BJ96" s="161"/>
      <c r="BK96" s="161"/>
      <c r="BL96" s="182"/>
      <c r="BM96" s="161"/>
      <c r="BN96" s="195"/>
      <c r="BO96" s="161"/>
      <c r="BP96" s="161"/>
      <c r="BQ96" s="161"/>
      <c r="BR96" s="161"/>
      <c r="BS96" s="161"/>
      <c r="BT96" s="161"/>
      <c r="BU96" s="161"/>
      <c r="BV96" s="161"/>
      <c r="BW96" s="161"/>
      <c r="BX96" s="161"/>
      <c r="BY96" s="161"/>
      <c r="BZ96" s="161"/>
    </row>
    <row r="97" spans="1:66" s="29" customFormat="1" ht="24.75" customHeight="1" x14ac:dyDescent="0.2">
      <c r="A97" s="217" t="s">
        <v>47</v>
      </c>
      <c r="B97" s="218"/>
      <c r="C97" s="218"/>
      <c r="D97" s="218"/>
      <c r="E97" s="218"/>
      <c r="F97" s="218"/>
      <c r="G97" s="67"/>
      <c r="J97" s="192"/>
      <c r="AL97" s="192"/>
      <c r="BN97" s="192"/>
    </row>
    <row r="98" spans="1:66" s="29" customFormat="1" ht="30.75" customHeight="1" x14ac:dyDescent="0.2">
      <c r="A98" s="217" t="s">
        <v>48</v>
      </c>
      <c r="B98" s="218"/>
      <c r="C98" s="218"/>
      <c r="D98" s="218"/>
      <c r="E98" s="218"/>
      <c r="F98" s="218"/>
      <c r="G98" s="31"/>
      <c r="J98" s="192"/>
      <c r="AL98" s="192"/>
      <c r="BN98" s="192"/>
    </row>
    <row r="99" spans="1:66" s="29" customFormat="1" x14ac:dyDescent="0.2">
      <c r="A99" s="47"/>
      <c r="B99" s="47"/>
      <c r="C99" s="31"/>
      <c r="D99" s="31"/>
      <c r="E99" s="31"/>
      <c r="F99" s="31"/>
      <c r="G99" s="31"/>
      <c r="J99" s="192"/>
      <c r="AL99" s="192"/>
      <c r="BN99" s="192"/>
    </row>
    <row r="100" spans="1:66" s="29" customFormat="1" hidden="1" x14ac:dyDescent="0.2">
      <c r="A100" s="47">
        <v>7603</v>
      </c>
      <c r="B100" s="47" t="s">
        <v>17</v>
      </c>
      <c r="C100" s="31"/>
      <c r="D100" s="31"/>
      <c r="E100" s="31"/>
      <c r="F100" s="31"/>
      <c r="G100" s="31"/>
      <c r="J100" s="192"/>
      <c r="AL100" s="192"/>
      <c r="BN100" s="192"/>
    </row>
    <row r="101" spans="1:66" s="29" customFormat="1" hidden="1" x14ac:dyDescent="0.2">
      <c r="A101" s="47">
        <v>16926</v>
      </c>
      <c r="B101" s="47" t="s">
        <v>17</v>
      </c>
      <c r="C101" s="31"/>
      <c r="D101" s="31"/>
      <c r="E101" s="31"/>
      <c r="F101" s="31"/>
      <c r="G101" s="31"/>
      <c r="J101" s="192"/>
      <c r="AL101" s="192"/>
      <c r="BN101" s="192"/>
    </row>
    <row r="102" spans="1:66" s="29" customFormat="1" hidden="1" x14ac:dyDescent="0.2">
      <c r="A102" s="47">
        <v>7606</v>
      </c>
      <c r="B102" s="47" t="s">
        <v>17</v>
      </c>
      <c r="C102" s="31"/>
      <c r="D102" s="31"/>
      <c r="E102" s="31"/>
      <c r="F102" s="31"/>
      <c r="G102" s="31"/>
      <c r="J102" s="192"/>
      <c r="AL102" s="192"/>
      <c r="BN102" s="192"/>
    </row>
    <row r="103" spans="1:66" s="29" customFormat="1" x14ac:dyDescent="0.2">
      <c r="A103" s="47"/>
      <c r="B103" s="47"/>
      <c r="C103" s="31"/>
      <c r="D103" s="31"/>
      <c r="E103" s="31"/>
      <c r="F103" s="31"/>
      <c r="G103" s="31"/>
      <c r="J103" s="192"/>
      <c r="AL103" s="192"/>
      <c r="BN103" s="192"/>
    </row>
    <row r="104" spans="1:66" s="29" customFormat="1" ht="18" customHeight="1" x14ac:dyDescent="0.25">
      <c r="A104" s="47"/>
      <c r="B104" s="48" t="s">
        <v>9</v>
      </c>
      <c r="C104" s="46"/>
      <c r="D104" s="46"/>
      <c r="E104" s="31"/>
      <c r="F104" s="31"/>
      <c r="G104" s="31"/>
      <c r="J104" s="192"/>
      <c r="AL104" s="192"/>
      <c r="BN104" s="192"/>
    </row>
    <row r="105" spans="1:66" s="29" customFormat="1" ht="18" customHeight="1" x14ac:dyDescent="0.2">
      <c r="A105" s="47"/>
      <c r="B105" s="46" t="s">
        <v>10</v>
      </c>
      <c r="C105" s="46"/>
      <c r="D105" s="46"/>
      <c r="E105" s="31"/>
      <c r="F105" s="31"/>
      <c r="G105" s="31"/>
      <c r="J105" s="192"/>
      <c r="AL105" s="192"/>
      <c r="BN105" s="192"/>
    </row>
    <row r="106" spans="1:66" s="29" customFormat="1" ht="18" customHeight="1" x14ac:dyDescent="0.2">
      <c r="A106" s="47"/>
      <c r="B106" s="46" t="s">
        <v>11</v>
      </c>
      <c r="C106" s="49">
        <v>5000</v>
      </c>
      <c r="D106" s="46"/>
      <c r="E106" s="31"/>
      <c r="F106" s="31"/>
      <c r="G106" s="31"/>
      <c r="J106" s="192"/>
      <c r="AL106" s="192"/>
      <c r="BN106" s="192"/>
    </row>
    <row r="107" spans="1:66" s="29" customFormat="1" ht="18" customHeight="1" x14ac:dyDescent="0.2">
      <c r="A107" s="47"/>
      <c r="B107" s="46" t="s">
        <v>12</v>
      </c>
      <c r="C107" s="50">
        <v>0.1</v>
      </c>
      <c r="D107" s="46"/>
      <c r="E107" s="31"/>
      <c r="F107" s="31"/>
      <c r="G107" s="31"/>
      <c r="J107" s="192"/>
      <c r="AL107" s="192"/>
      <c r="BN107" s="192"/>
    </row>
    <row r="108" spans="1:66" s="29" customFormat="1" ht="18" customHeight="1" x14ac:dyDescent="0.2">
      <c r="A108" s="47"/>
      <c r="B108" s="46"/>
      <c r="C108" s="46"/>
      <c r="D108" s="46"/>
      <c r="E108" s="31"/>
      <c r="F108" s="31"/>
      <c r="G108" s="31"/>
      <c r="J108" s="192"/>
      <c r="AL108" s="192"/>
      <c r="BN108" s="192"/>
    </row>
    <row r="109" spans="1:66" s="29" customFormat="1" ht="18" customHeight="1" x14ac:dyDescent="0.2">
      <c r="A109" s="47"/>
      <c r="B109" s="46" t="s">
        <v>71</v>
      </c>
      <c r="C109" s="46"/>
      <c r="D109" s="46"/>
      <c r="E109" s="31"/>
      <c r="F109" s="31"/>
      <c r="G109" s="31"/>
      <c r="J109" s="192"/>
      <c r="AL109" s="192"/>
      <c r="BN109" s="192"/>
    </row>
    <row r="110" spans="1:66" s="29" customFormat="1" ht="18" customHeight="1" x14ac:dyDescent="0.2">
      <c r="A110" s="47"/>
      <c r="B110" s="46" t="s">
        <v>11</v>
      </c>
      <c r="C110" s="49">
        <v>5000</v>
      </c>
      <c r="D110" s="46"/>
      <c r="E110" s="31"/>
      <c r="F110" s="31"/>
      <c r="G110" s="31"/>
      <c r="J110" s="192"/>
      <c r="AL110" s="192"/>
      <c r="BN110" s="192"/>
    </row>
    <row r="111" spans="1:66" s="29" customFormat="1" x14ac:dyDescent="0.2">
      <c r="A111" s="47"/>
      <c r="B111" s="47"/>
      <c r="C111" s="31"/>
      <c r="D111" s="31"/>
      <c r="E111" s="31"/>
      <c r="F111" s="31"/>
      <c r="G111" s="31"/>
      <c r="J111" s="192"/>
      <c r="AL111" s="192"/>
      <c r="BN111" s="192"/>
    </row>
    <row r="112" spans="1:66" s="29" customFormat="1" x14ac:dyDescent="0.2">
      <c r="A112" s="47"/>
      <c r="B112" s="47"/>
      <c r="C112" s="31"/>
      <c r="D112" s="31"/>
      <c r="E112" s="31"/>
      <c r="F112" s="31"/>
      <c r="G112" s="31"/>
      <c r="J112" s="192"/>
      <c r="AL112" s="192"/>
      <c r="BN112" s="192"/>
    </row>
    <row r="113" spans="1:77" s="29" customFormat="1" x14ac:dyDescent="0.2">
      <c r="A113" s="47"/>
      <c r="B113" s="47"/>
      <c r="C113" s="31"/>
      <c r="D113" s="31"/>
      <c r="E113" s="31"/>
      <c r="F113" s="31"/>
      <c r="G113" s="31"/>
      <c r="J113" s="192"/>
      <c r="AL113" s="192"/>
      <c r="BN113" s="192"/>
    </row>
    <row r="114" spans="1:77" s="29" customFormat="1" ht="15.75" customHeight="1" x14ac:dyDescent="0.2">
      <c r="A114" s="47"/>
      <c r="B114" s="47"/>
      <c r="C114" s="31"/>
      <c r="D114" s="31"/>
      <c r="E114" s="31"/>
      <c r="F114" s="31"/>
      <c r="G114" s="31"/>
      <c r="J114" s="192"/>
      <c r="AL114" s="192"/>
      <c r="BN114" s="192"/>
    </row>
    <row r="115" spans="1:77" s="29" customFormat="1" x14ac:dyDescent="0.2">
      <c r="A115" s="47"/>
      <c r="B115" s="47"/>
      <c r="C115" s="31"/>
      <c r="D115" s="31"/>
      <c r="E115" s="31"/>
      <c r="F115" s="31"/>
      <c r="G115" s="31"/>
      <c r="J115" s="192"/>
      <c r="AL115" s="192"/>
      <c r="BN115" s="192"/>
    </row>
    <row r="116" spans="1:77" s="29" customFormat="1" x14ac:dyDescent="0.2">
      <c r="A116" s="47"/>
      <c r="B116" s="47"/>
      <c r="C116" s="31"/>
      <c r="D116" s="31"/>
      <c r="J116" s="192"/>
      <c r="AL116" s="192"/>
      <c r="BN116" s="192"/>
    </row>
    <row r="117" spans="1:77" s="29" customFormat="1" ht="49.5" customHeight="1" x14ac:dyDescent="0.2">
      <c r="A117" s="47"/>
      <c r="B117" s="47"/>
      <c r="C117" s="31"/>
      <c r="D117" s="31"/>
      <c r="J117" s="192"/>
      <c r="AL117" s="192"/>
      <c r="BN117" s="192"/>
      <c r="BY117" s="63"/>
    </row>
    <row r="118" spans="1:77" s="29" customFormat="1" x14ac:dyDescent="0.2">
      <c r="A118" s="47"/>
      <c r="B118" s="47"/>
      <c r="C118" s="31"/>
      <c r="D118" s="31"/>
      <c r="J118" s="192"/>
      <c r="AL118" s="192"/>
      <c r="BN118" s="192"/>
      <c r="BY118" s="64"/>
    </row>
    <row r="119" spans="1:77" s="29" customFormat="1" x14ac:dyDescent="0.2">
      <c r="A119" s="47"/>
      <c r="B119" s="47"/>
      <c r="C119" s="31"/>
      <c r="D119" s="31"/>
      <c r="J119" s="192"/>
      <c r="AL119" s="192"/>
      <c r="BN119" s="192"/>
      <c r="BY119" s="64"/>
    </row>
    <row r="120" spans="1:77" s="29" customFormat="1" x14ac:dyDescent="0.2">
      <c r="A120" s="47"/>
      <c r="B120" s="47"/>
      <c r="C120" s="31"/>
      <c r="D120" s="31"/>
      <c r="J120" s="192"/>
      <c r="AL120" s="192"/>
      <c r="BN120" s="192"/>
      <c r="BY120" s="64"/>
    </row>
    <row r="121" spans="1:77" s="29" customFormat="1" x14ac:dyDescent="0.2">
      <c r="A121" s="47"/>
      <c r="B121" s="47"/>
      <c r="C121" s="31"/>
      <c r="D121" s="31"/>
      <c r="E121" s="31"/>
      <c r="F121" s="31"/>
      <c r="G121" s="31"/>
      <c r="J121" s="192"/>
      <c r="AL121" s="192"/>
      <c r="BN121" s="192"/>
      <c r="BY121" s="64"/>
    </row>
    <row r="122" spans="1:77" s="29" customFormat="1" x14ac:dyDescent="0.2">
      <c r="A122" s="47"/>
      <c r="B122" s="47"/>
      <c r="C122" s="31"/>
      <c r="D122" s="31"/>
      <c r="E122" s="31"/>
      <c r="F122" s="31"/>
      <c r="G122" s="31"/>
      <c r="J122" s="192"/>
      <c r="AL122" s="192"/>
      <c r="BN122" s="192"/>
      <c r="BY122" s="64"/>
    </row>
    <row r="123" spans="1:77" s="29" customFormat="1" x14ac:dyDescent="0.2">
      <c r="A123" s="47"/>
      <c r="B123" s="47"/>
      <c r="C123" s="31"/>
      <c r="D123" s="31"/>
      <c r="E123" s="31"/>
      <c r="F123" s="31"/>
      <c r="G123" s="31"/>
      <c r="J123" s="192"/>
      <c r="AL123" s="192"/>
      <c r="BN123" s="192"/>
      <c r="BY123" s="64"/>
    </row>
    <row r="124" spans="1:77" s="29" customFormat="1" x14ac:dyDescent="0.2">
      <c r="A124" s="47"/>
      <c r="B124" s="47"/>
      <c r="C124" s="31"/>
      <c r="D124" s="31"/>
      <c r="E124" s="31"/>
      <c r="F124" s="31"/>
      <c r="G124" s="31"/>
      <c r="J124" s="192"/>
      <c r="AL124" s="192"/>
      <c r="BN124" s="192"/>
      <c r="BY124" s="64"/>
    </row>
    <row r="125" spans="1:77" s="29" customFormat="1" x14ac:dyDescent="0.2">
      <c r="A125" s="47"/>
      <c r="B125" s="47"/>
      <c r="C125" s="31"/>
      <c r="D125" s="31"/>
      <c r="E125" s="31"/>
      <c r="F125" s="31"/>
      <c r="G125" s="31"/>
      <c r="J125" s="192"/>
      <c r="AL125" s="192"/>
      <c r="BN125" s="192"/>
      <c r="BY125" s="64"/>
    </row>
    <row r="126" spans="1:77" s="29" customFormat="1" x14ac:dyDescent="0.2">
      <c r="A126" s="47"/>
      <c r="B126" s="47"/>
      <c r="C126" s="31"/>
      <c r="D126" s="31"/>
      <c r="E126" s="31"/>
      <c r="F126" s="31"/>
      <c r="G126" s="31"/>
      <c r="J126" s="192"/>
      <c r="AL126" s="192"/>
      <c r="BN126" s="192"/>
      <c r="BY126" s="64"/>
    </row>
    <row r="127" spans="1:77" s="29" customFormat="1" x14ac:dyDescent="0.2">
      <c r="A127" s="47"/>
      <c r="B127" s="47"/>
      <c r="C127" s="31"/>
      <c r="D127" s="31"/>
      <c r="E127" s="31"/>
      <c r="F127" s="31"/>
      <c r="G127" s="31"/>
      <c r="J127" s="192"/>
      <c r="AL127" s="192"/>
      <c r="BN127" s="192"/>
      <c r="BY127" s="64"/>
    </row>
    <row r="128" spans="1:77" s="29" customFormat="1" x14ac:dyDescent="0.2">
      <c r="A128" s="47"/>
      <c r="B128" s="47"/>
      <c r="C128" s="31"/>
      <c r="D128" s="31"/>
      <c r="E128" s="31"/>
      <c r="F128" s="31"/>
      <c r="G128" s="31"/>
      <c r="J128" s="192"/>
      <c r="AL128" s="192"/>
      <c r="BN128" s="192"/>
      <c r="BY128" s="64"/>
    </row>
    <row r="129" spans="1:77" s="29" customFormat="1" x14ac:dyDescent="0.2">
      <c r="A129" s="47"/>
      <c r="B129" s="47"/>
      <c r="C129" s="31"/>
      <c r="D129" s="31"/>
      <c r="E129" s="31"/>
      <c r="F129" s="31"/>
      <c r="G129" s="31"/>
      <c r="J129" s="192"/>
      <c r="AL129" s="192"/>
      <c r="BN129" s="192"/>
      <c r="BY129" s="64"/>
    </row>
    <row r="130" spans="1:77" s="29" customFormat="1" x14ac:dyDescent="0.2">
      <c r="A130" s="47"/>
      <c r="B130" s="47"/>
      <c r="C130" s="31"/>
      <c r="D130" s="31"/>
      <c r="E130" s="31"/>
      <c r="F130" s="31"/>
      <c r="G130" s="31"/>
      <c r="J130" s="192"/>
      <c r="AL130" s="192"/>
      <c r="BN130" s="192"/>
      <c r="BY130" s="64"/>
    </row>
    <row r="131" spans="1:77" s="29" customFormat="1" x14ac:dyDescent="0.2">
      <c r="A131" s="47"/>
      <c r="B131" s="47"/>
      <c r="C131" s="31"/>
      <c r="D131" s="31"/>
      <c r="E131" s="31"/>
      <c r="F131" s="31"/>
      <c r="G131" s="31"/>
      <c r="J131" s="192"/>
      <c r="AL131" s="192"/>
      <c r="BN131" s="192"/>
      <c r="BY131" s="64"/>
    </row>
    <row r="132" spans="1:77" s="29" customFormat="1" x14ac:dyDescent="0.2">
      <c r="A132" s="47"/>
      <c r="B132" s="47"/>
      <c r="C132" s="31"/>
      <c r="D132" s="31"/>
      <c r="E132" s="31"/>
      <c r="F132" s="31"/>
      <c r="G132" s="31"/>
      <c r="J132" s="192"/>
      <c r="AL132" s="192"/>
      <c r="BN132" s="192"/>
      <c r="BY132" s="64"/>
    </row>
    <row r="133" spans="1:77" s="29" customFormat="1" x14ac:dyDescent="0.2">
      <c r="A133" s="47"/>
      <c r="B133" s="47"/>
      <c r="C133" s="31"/>
      <c r="D133" s="31"/>
      <c r="E133" s="31"/>
      <c r="F133" s="31"/>
      <c r="G133" s="31"/>
      <c r="J133" s="192"/>
      <c r="AL133" s="192"/>
      <c r="BN133" s="192"/>
      <c r="BY133" s="64"/>
    </row>
    <row r="134" spans="1:77" s="29" customFormat="1" x14ac:dyDescent="0.2">
      <c r="A134" s="47"/>
      <c r="B134" s="47"/>
      <c r="C134" s="31"/>
      <c r="D134" s="31"/>
      <c r="E134" s="31"/>
      <c r="F134" s="31"/>
      <c r="G134" s="31"/>
      <c r="J134" s="192"/>
      <c r="AL134" s="192"/>
      <c r="BN134" s="192"/>
      <c r="BY134" s="64"/>
    </row>
    <row r="135" spans="1:77" s="29" customFormat="1" x14ac:dyDescent="0.2">
      <c r="A135" s="47"/>
      <c r="B135" s="47"/>
      <c r="C135" s="31"/>
      <c r="D135" s="31"/>
      <c r="E135" s="31"/>
      <c r="F135" s="31"/>
      <c r="G135" s="31"/>
      <c r="J135" s="192"/>
      <c r="AL135" s="192"/>
      <c r="BN135" s="192"/>
      <c r="BY135" s="64"/>
    </row>
    <row r="136" spans="1:77" s="29" customFormat="1" x14ac:dyDescent="0.2">
      <c r="A136" s="47"/>
      <c r="B136" s="47"/>
      <c r="C136" s="31"/>
      <c r="D136" s="31"/>
      <c r="E136" s="31"/>
      <c r="F136" s="31"/>
      <c r="G136" s="31"/>
      <c r="J136" s="192"/>
      <c r="AL136" s="192"/>
      <c r="BN136" s="192"/>
      <c r="BY136" s="64"/>
    </row>
    <row r="137" spans="1:77" s="29" customFormat="1" x14ac:dyDescent="0.2">
      <c r="A137" s="47"/>
      <c r="B137" s="47"/>
      <c r="C137" s="31"/>
      <c r="D137" s="31"/>
      <c r="E137" s="31"/>
      <c r="F137" s="31"/>
      <c r="G137" s="31"/>
      <c r="J137" s="192"/>
      <c r="AL137" s="192"/>
      <c r="BN137" s="192"/>
      <c r="BY137" s="64"/>
    </row>
    <row r="138" spans="1:77" s="29" customFormat="1" x14ac:dyDescent="0.2">
      <c r="A138" s="47"/>
      <c r="B138" s="47"/>
      <c r="C138" s="31"/>
      <c r="D138" s="31"/>
      <c r="E138" s="31"/>
      <c r="F138" s="31"/>
      <c r="G138" s="31"/>
      <c r="J138" s="192"/>
      <c r="AL138" s="192"/>
      <c r="BN138" s="192"/>
      <c r="BY138" s="64"/>
    </row>
    <row r="139" spans="1:77" s="29" customFormat="1" x14ac:dyDescent="0.2">
      <c r="A139" s="47"/>
      <c r="B139" s="47"/>
      <c r="C139" s="31"/>
      <c r="D139" s="31"/>
      <c r="E139" s="31"/>
      <c r="F139" s="31"/>
      <c r="G139" s="31"/>
      <c r="J139" s="192"/>
      <c r="AL139" s="192"/>
      <c r="BN139" s="192"/>
      <c r="BY139" s="64"/>
    </row>
    <row r="140" spans="1:77" s="29" customFormat="1" x14ac:dyDescent="0.2">
      <c r="A140" s="47"/>
      <c r="B140" s="47"/>
      <c r="C140" s="31"/>
      <c r="D140" s="31"/>
      <c r="E140" s="31"/>
      <c r="F140" s="31"/>
      <c r="G140" s="31"/>
      <c r="J140" s="192"/>
      <c r="AL140" s="192"/>
      <c r="BN140" s="192"/>
      <c r="BY140" s="64"/>
    </row>
    <row r="141" spans="1:77" s="29" customFormat="1" x14ac:dyDescent="0.2">
      <c r="A141" s="47"/>
      <c r="B141" s="47"/>
      <c r="C141" s="31"/>
      <c r="D141" s="31"/>
      <c r="E141" s="31"/>
      <c r="F141" s="31"/>
      <c r="G141" s="31"/>
      <c r="J141" s="192"/>
      <c r="AL141" s="192"/>
      <c r="BN141" s="192"/>
      <c r="BY141" s="64"/>
    </row>
    <row r="142" spans="1:77" s="29" customFormat="1" x14ac:dyDescent="0.2">
      <c r="A142" s="47"/>
      <c r="B142" s="47"/>
      <c r="C142" s="31"/>
      <c r="D142" s="31"/>
      <c r="E142" s="31"/>
      <c r="F142" s="31"/>
      <c r="G142" s="31"/>
      <c r="J142" s="192"/>
      <c r="AL142" s="192"/>
      <c r="BN142" s="192"/>
      <c r="BY142" s="64"/>
    </row>
    <row r="143" spans="1:77" s="29" customFormat="1" x14ac:dyDescent="0.2">
      <c r="A143" s="47"/>
      <c r="B143" s="47"/>
      <c r="C143" s="31"/>
      <c r="D143" s="31"/>
      <c r="E143" s="31"/>
      <c r="F143" s="31"/>
      <c r="G143" s="31"/>
      <c r="J143" s="192"/>
      <c r="AL143" s="192"/>
      <c r="BN143" s="192"/>
      <c r="BY143" s="64"/>
    </row>
    <row r="144" spans="1:77" s="29" customFormat="1" x14ac:dyDescent="0.2">
      <c r="A144" s="47"/>
      <c r="B144" s="47"/>
      <c r="C144" s="31"/>
      <c r="D144" s="31"/>
      <c r="E144" s="31"/>
      <c r="F144" s="31"/>
      <c r="G144" s="31"/>
      <c r="J144" s="192"/>
      <c r="AL144" s="192"/>
      <c r="BN144" s="192"/>
      <c r="BY144" s="64"/>
    </row>
    <row r="145" spans="1:77" s="29" customFormat="1" x14ac:dyDescent="0.2">
      <c r="A145" s="47"/>
      <c r="B145" s="47"/>
      <c r="C145" s="31"/>
      <c r="D145" s="31"/>
      <c r="E145" s="31"/>
      <c r="F145" s="31"/>
      <c r="G145" s="31"/>
      <c r="J145" s="192"/>
      <c r="AL145" s="192"/>
      <c r="BN145" s="192"/>
      <c r="BY145" s="64"/>
    </row>
    <row r="146" spans="1:77" s="29" customFormat="1" x14ac:dyDescent="0.2">
      <c r="A146" s="47"/>
      <c r="B146" s="47"/>
      <c r="C146" s="31"/>
      <c r="D146" s="31"/>
      <c r="E146" s="31"/>
      <c r="F146" s="31"/>
      <c r="G146" s="31"/>
      <c r="J146" s="192"/>
      <c r="AL146" s="192"/>
      <c r="BN146" s="192"/>
      <c r="BY146" s="64"/>
    </row>
    <row r="147" spans="1:77" s="29" customFormat="1" x14ac:dyDescent="0.2">
      <c r="A147" s="47"/>
      <c r="B147" s="47"/>
      <c r="C147" s="31"/>
      <c r="D147" s="31"/>
      <c r="E147" s="31"/>
      <c r="F147" s="31"/>
      <c r="G147" s="31"/>
      <c r="J147" s="192"/>
      <c r="AL147" s="192"/>
      <c r="BN147" s="192"/>
      <c r="BY147" s="64"/>
    </row>
    <row r="148" spans="1:77" s="29" customFormat="1" x14ac:dyDescent="0.2">
      <c r="A148" s="47"/>
      <c r="B148" s="47"/>
      <c r="C148" s="31"/>
      <c r="D148" s="31"/>
      <c r="E148" s="31"/>
      <c r="F148" s="31"/>
      <c r="G148" s="31"/>
      <c r="J148" s="192"/>
      <c r="AL148" s="192"/>
      <c r="BN148" s="192"/>
      <c r="BY148" s="64"/>
    </row>
    <row r="149" spans="1:77" s="29" customFormat="1" x14ac:dyDescent="0.2">
      <c r="A149" s="47"/>
      <c r="B149" s="47"/>
      <c r="C149" s="31"/>
      <c r="D149" s="31"/>
      <c r="E149" s="31"/>
      <c r="F149" s="31"/>
      <c r="G149" s="31"/>
      <c r="J149" s="192"/>
      <c r="AL149" s="192"/>
      <c r="BN149" s="192"/>
      <c r="BY149" s="64"/>
    </row>
    <row r="150" spans="1:77" s="29" customFormat="1" x14ac:dyDescent="0.2">
      <c r="A150" s="47"/>
      <c r="B150" s="47"/>
      <c r="C150" s="31"/>
      <c r="D150" s="31"/>
      <c r="E150" s="31"/>
      <c r="F150" s="31"/>
      <c r="G150" s="31"/>
      <c r="J150" s="192"/>
      <c r="AL150" s="192"/>
      <c r="BN150" s="192"/>
      <c r="BY150" s="64"/>
    </row>
    <row r="151" spans="1:77" s="29" customFormat="1" x14ac:dyDescent="0.2">
      <c r="A151" s="47"/>
      <c r="B151" s="47"/>
      <c r="C151" s="31"/>
      <c r="D151" s="31"/>
      <c r="E151" s="31"/>
      <c r="F151" s="31"/>
      <c r="G151" s="31"/>
      <c r="J151" s="192"/>
      <c r="AL151" s="192"/>
      <c r="BN151" s="192"/>
      <c r="BY151" s="64"/>
    </row>
    <row r="152" spans="1:77" s="29" customFormat="1" x14ac:dyDescent="0.2">
      <c r="A152" s="47"/>
      <c r="B152" s="47"/>
      <c r="C152" s="31"/>
      <c r="D152" s="31"/>
      <c r="E152" s="31"/>
      <c r="F152" s="31"/>
      <c r="G152" s="31"/>
      <c r="J152" s="192"/>
      <c r="AL152" s="192"/>
      <c r="BN152" s="192"/>
      <c r="BY152" s="64"/>
    </row>
    <row r="153" spans="1:77" s="29" customFormat="1" x14ac:dyDescent="0.2">
      <c r="A153" s="47"/>
      <c r="B153" s="47"/>
      <c r="C153" s="31"/>
      <c r="D153" s="31"/>
      <c r="E153" s="31"/>
      <c r="F153" s="31"/>
      <c r="G153" s="31"/>
      <c r="J153" s="192"/>
      <c r="AL153" s="192"/>
      <c r="BN153" s="192"/>
      <c r="BY153" s="64"/>
    </row>
    <row r="154" spans="1:77" s="29" customFormat="1" x14ac:dyDescent="0.2">
      <c r="A154" s="47"/>
      <c r="B154" s="47"/>
      <c r="C154" s="31"/>
      <c r="D154" s="31"/>
      <c r="E154" s="31"/>
      <c r="F154" s="31"/>
      <c r="G154" s="31"/>
      <c r="J154" s="192"/>
      <c r="AL154" s="192"/>
      <c r="BN154" s="192"/>
      <c r="BY154" s="64"/>
    </row>
    <row r="155" spans="1:77" s="29" customFormat="1" x14ac:dyDescent="0.2">
      <c r="A155" s="47"/>
      <c r="B155" s="47"/>
      <c r="C155" s="31"/>
      <c r="D155" s="31"/>
      <c r="E155" s="31"/>
      <c r="F155" s="31"/>
      <c r="G155" s="31"/>
      <c r="J155" s="192"/>
      <c r="AL155" s="192"/>
      <c r="BN155" s="192"/>
      <c r="BY155" s="64"/>
    </row>
    <row r="156" spans="1:77" s="29" customFormat="1" x14ac:dyDescent="0.2">
      <c r="A156" s="47"/>
      <c r="B156" s="47"/>
      <c r="C156" s="31"/>
      <c r="D156" s="31"/>
      <c r="E156" s="31"/>
      <c r="F156" s="31"/>
      <c r="G156" s="31"/>
      <c r="J156" s="192"/>
      <c r="AL156" s="192"/>
      <c r="BN156" s="192"/>
      <c r="BY156" s="64"/>
    </row>
    <row r="157" spans="1:77" s="29" customFormat="1" x14ac:dyDescent="0.2">
      <c r="A157" s="47"/>
      <c r="B157" s="47"/>
      <c r="C157" s="31"/>
      <c r="D157" s="31"/>
      <c r="E157" s="31"/>
      <c r="F157" s="31"/>
      <c r="G157" s="31"/>
      <c r="J157" s="192"/>
      <c r="AL157" s="192"/>
      <c r="BN157" s="192"/>
      <c r="BY157" s="64"/>
    </row>
    <row r="158" spans="1:77" s="29" customFormat="1" x14ac:dyDescent="0.2">
      <c r="A158" s="47"/>
      <c r="B158" s="47"/>
      <c r="C158" s="31"/>
      <c r="D158" s="31"/>
      <c r="E158" s="31"/>
      <c r="F158" s="31"/>
      <c r="G158" s="31"/>
      <c r="J158" s="192"/>
      <c r="AL158" s="192"/>
      <c r="BN158" s="192"/>
      <c r="BY158" s="64"/>
    </row>
    <row r="159" spans="1:77" s="29" customFormat="1" x14ac:dyDescent="0.2">
      <c r="A159" s="47"/>
      <c r="B159" s="47"/>
      <c r="C159" s="31"/>
      <c r="D159" s="31"/>
      <c r="E159" s="31"/>
      <c r="F159" s="31"/>
      <c r="G159" s="31"/>
      <c r="J159" s="192"/>
      <c r="AL159" s="192"/>
      <c r="BN159" s="192"/>
      <c r="BY159" s="64"/>
    </row>
    <row r="160" spans="1:77" s="29" customFormat="1" x14ac:dyDescent="0.2">
      <c r="A160" s="47"/>
      <c r="B160" s="47"/>
      <c r="C160" s="31"/>
      <c r="D160" s="31"/>
      <c r="E160" s="31"/>
      <c r="F160" s="31"/>
      <c r="G160" s="31"/>
      <c r="J160" s="192"/>
      <c r="AL160" s="192"/>
      <c r="BN160" s="192"/>
      <c r="BY160" s="64"/>
    </row>
    <row r="161" spans="1:77" s="29" customFormat="1" x14ac:dyDescent="0.2">
      <c r="A161" s="47"/>
      <c r="B161" s="47"/>
      <c r="C161" s="31"/>
      <c r="D161" s="31"/>
      <c r="E161" s="31"/>
      <c r="F161" s="31"/>
      <c r="G161" s="31"/>
      <c r="J161" s="192"/>
      <c r="AL161" s="192"/>
      <c r="BN161" s="192"/>
      <c r="BY161" s="64"/>
    </row>
    <row r="162" spans="1:77" s="29" customFormat="1" x14ac:dyDescent="0.2">
      <c r="A162" s="47"/>
      <c r="B162" s="47"/>
      <c r="C162" s="31"/>
      <c r="D162" s="31"/>
      <c r="E162" s="31"/>
      <c r="F162" s="31"/>
      <c r="G162" s="31"/>
      <c r="J162" s="192"/>
      <c r="AL162" s="192"/>
      <c r="BN162" s="192"/>
      <c r="BY162" s="64"/>
    </row>
    <row r="163" spans="1:77" s="29" customFormat="1" x14ac:dyDescent="0.2">
      <c r="A163" s="47"/>
      <c r="B163" s="47"/>
      <c r="C163" s="31"/>
      <c r="D163" s="31"/>
      <c r="E163" s="31"/>
      <c r="F163" s="31"/>
      <c r="G163" s="31"/>
      <c r="J163" s="192"/>
      <c r="AL163" s="192"/>
      <c r="BN163" s="192"/>
      <c r="BY163" s="64"/>
    </row>
    <row r="164" spans="1:77" s="29" customFormat="1" x14ac:dyDescent="0.2">
      <c r="A164" s="47"/>
      <c r="B164" s="47"/>
      <c r="C164" s="31"/>
      <c r="D164" s="31"/>
      <c r="E164" s="31"/>
      <c r="F164" s="31"/>
      <c r="G164" s="31"/>
      <c r="J164" s="192"/>
      <c r="AL164" s="192"/>
      <c r="BN164" s="192"/>
      <c r="BY164" s="64"/>
    </row>
    <row r="165" spans="1:77" s="29" customFormat="1" x14ac:dyDescent="0.2">
      <c r="A165" s="47"/>
      <c r="B165" s="47"/>
      <c r="C165" s="31"/>
      <c r="D165" s="31"/>
      <c r="E165" s="31"/>
      <c r="F165" s="31"/>
      <c r="G165" s="31"/>
      <c r="J165" s="192"/>
      <c r="AL165" s="192"/>
      <c r="BN165" s="192"/>
      <c r="BY165" s="64"/>
    </row>
    <row r="166" spans="1:77" s="29" customFormat="1" x14ac:dyDescent="0.2">
      <c r="A166" s="47"/>
      <c r="B166" s="47"/>
      <c r="C166" s="31"/>
      <c r="D166" s="31"/>
      <c r="E166" s="31"/>
      <c r="F166" s="31"/>
      <c r="G166" s="31"/>
      <c r="J166" s="192"/>
      <c r="AL166" s="192"/>
      <c r="BN166" s="192"/>
      <c r="BY166" s="64"/>
    </row>
    <row r="167" spans="1:77" s="29" customFormat="1" x14ac:dyDescent="0.2">
      <c r="A167" s="47"/>
      <c r="B167" s="47"/>
      <c r="C167" s="31"/>
      <c r="D167" s="31"/>
      <c r="E167" s="31"/>
      <c r="F167" s="31"/>
      <c r="G167" s="31"/>
      <c r="J167" s="192"/>
      <c r="AL167" s="192"/>
      <c r="BN167" s="192"/>
      <c r="BY167" s="64"/>
    </row>
    <row r="168" spans="1:77" s="29" customFormat="1" x14ac:dyDescent="0.2">
      <c r="A168" s="47"/>
      <c r="B168" s="47"/>
      <c r="C168" s="31"/>
      <c r="D168" s="31"/>
      <c r="E168" s="31"/>
      <c r="F168" s="31"/>
      <c r="G168" s="31"/>
      <c r="J168" s="192"/>
      <c r="AL168" s="192"/>
      <c r="BN168" s="192"/>
      <c r="BY168" s="64"/>
    </row>
    <row r="169" spans="1:77" s="29" customFormat="1" x14ac:dyDescent="0.2">
      <c r="A169" s="47"/>
      <c r="B169" s="47"/>
      <c r="C169" s="31"/>
      <c r="D169" s="31"/>
      <c r="E169" s="31"/>
      <c r="F169" s="31"/>
      <c r="G169" s="31"/>
      <c r="J169" s="192"/>
      <c r="AL169" s="192"/>
      <c r="BN169" s="192"/>
      <c r="BY169" s="64"/>
    </row>
    <row r="170" spans="1:77" s="29" customFormat="1" x14ac:dyDescent="0.2">
      <c r="A170" s="47"/>
      <c r="B170" s="47"/>
      <c r="C170" s="31"/>
      <c r="D170" s="31"/>
      <c r="E170" s="31"/>
      <c r="F170" s="31"/>
      <c r="G170" s="31"/>
      <c r="J170" s="192"/>
      <c r="AL170" s="192"/>
      <c r="BN170" s="192"/>
      <c r="BY170" s="64"/>
    </row>
    <row r="171" spans="1:77" s="29" customFormat="1" x14ac:dyDescent="0.2">
      <c r="A171" s="47"/>
      <c r="B171" s="47"/>
      <c r="C171" s="31"/>
      <c r="D171" s="31"/>
      <c r="E171" s="31"/>
      <c r="F171" s="31"/>
      <c r="G171" s="31"/>
      <c r="J171" s="192"/>
      <c r="AL171" s="192"/>
      <c r="BN171" s="192"/>
      <c r="BY171" s="64"/>
    </row>
    <row r="172" spans="1:77" s="29" customFormat="1" x14ac:dyDescent="0.2">
      <c r="A172" s="47"/>
      <c r="B172" s="47"/>
      <c r="C172" s="31"/>
      <c r="D172" s="31"/>
      <c r="E172" s="31"/>
      <c r="F172" s="31"/>
      <c r="G172" s="31"/>
      <c r="J172" s="192"/>
      <c r="AL172" s="192"/>
      <c r="BN172" s="192"/>
      <c r="BY172" s="64"/>
    </row>
    <row r="173" spans="1:77" s="29" customFormat="1" x14ac:dyDescent="0.2">
      <c r="A173" s="47"/>
      <c r="B173" s="47"/>
      <c r="C173" s="31"/>
      <c r="D173" s="31"/>
      <c r="E173" s="31"/>
      <c r="F173" s="31"/>
      <c r="G173" s="31"/>
      <c r="J173" s="192"/>
      <c r="AL173" s="192"/>
      <c r="BN173" s="192"/>
      <c r="BY173" s="64"/>
    </row>
    <row r="174" spans="1:77" s="29" customFormat="1" x14ac:dyDescent="0.2">
      <c r="A174" s="47"/>
      <c r="B174" s="47"/>
      <c r="C174" s="31"/>
      <c r="D174" s="31"/>
      <c r="E174" s="31"/>
      <c r="F174" s="31"/>
      <c r="G174" s="31"/>
      <c r="J174" s="192"/>
      <c r="AL174" s="192"/>
      <c r="BN174" s="192"/>
      <c r="BY174" s="64"/>
    </row>
    <row r="175" spans="1:77" s="29" customFormat="1" x14ac:dyDescent="0.2">
      <c r="A175" s="47"/>
      <c r="B175" s="47"/>
      <c r="C175" s="31"/>
      <c r="D175" s="31"/>
      <c r="E175" s="31"/>
      <c r="F175" s="31"/>
      <c r="G175" s="31"/>
      <c r="J175" s="192"/>
      <c r="AL175" s="192"/>
      <c r="BN175" s="192"/>
      <c r="BY175" s="64"/>
    </row>
    <row r="176" spans="1:77" s="29" customFormat="1" x14ac:dyDescent="0.2">
      <c r="A176" s="47"/>
      <c r="B176" s="47"/>
      <c r="C176" s="31"/>
      <c r="D176" s="31"/>
      <c r="E176" s="31"/>
      <c r="F176" s="31"/>
      <c r="G176" s="31"/>
      <c r="J176" s="192"/>
      <c r="AL176" s="192"/>
      <c r="BN176" s="192"/>
      <c r="BY176" s="64"/>
    </row>
    <row r="177" spans="1:77" s="29" customFormat="1" x14ac:dyDescent="0.2">
      <c r="A177" s="47"/>
      <c r="B177" s="47"/>
      <c r="C177" s="31"/>
      <c r="D177" s="31"/>
      <c r="E177" s="31"/>
      <c r="F177" s="31"/>
      <c r="G177" s="31"/>
      <c r="J177" s="192"/>
      <c r="AL177" s="192"/>
      <c r="BN177" s="192"/>
      <c r="BY177" s="64"/>
    </row>
    <row r="178" spans="1:77" s="29" customFormat="1" x14ac:dyDescent="0.2">
      <c r="A178" s="47"/>
      <c r="B178" s="47"/>
      <c r="C178" s="31"/>
      <c r="D178" s="31"/>
      <c r="E178" s="31"/>
      <c r="F178" s="31"/>
      <c r="G178" s="31"/>
      <c r="J178" s="192"/>
      <c r="AL178" s="192"/>
      <c r="BN178" s="192"/>
      <c r="BY178" s="64"/>
    </row>
    <row r="179" spans="1:77" s="29" customFormat="1" x14ac:dyDescent="0.2">
      <c r="A179" s="47"/>
      <c r="B179" s="47"/>
      <c r="C179" s="31"/>
      <c r="D179" s="31"/>
      <c r="E179" s="31"/>
      <c r="F179" s="31"/>
      <c r="G179" s="31"/>
      <c r="J179" s="192"/>
      <c r="AL179" s="192"/>
      <c r="BN179" s="192"/>
      <c r="BY179" s="64"/>
    </row>
    <row r="180" spans="1:77" s="29" customFormat="1" x14ac:dyDescent="0.2">
      <c r="A180" s="47"/>
      <c r="B180" s="47"/>
      <c r="C180" s="31"/>
      <c r="D180" s="31"/>
      <c r="E180" s="31"/>
      <c r="F180" s="31"/>
      <c r="G180" s="31"/>
      <c r="J180" s="192"/>
      <c r="AL180" s="192"/>
      <c r="BN180" s="192"/>
      <c r="BY180" s="64"/>
    </row>
    <row r="181" spans="1:77" s="29" customFormat="1" x14ac:dyDescent="0.2">
      <c r="A181" s="47"/>
      <c r="B181" s="47"/>
      <c r="C181" s="31"/>
      <c r="D181" s="31"/>
      <c r="E181" s="31"/>
      <c r="F181" s="31"/>
      <c r="G181" s="31"/>
      <c r="J181" s="192"/>
      <c r="AL181" s="192"/>
      <c r="BN181" s="192"/>
      <c r="BY181" s="64"/>
    </row>
    <row r="182" spans="1:77" s="29" customFormat="1" x14ac:dyDescent="0.2">
      <c r="A182" s="47"/>
      <c r="B182" s="47"/>
      <c r="C182" s="31"/>
      <c r="D182" s="31"/>
      <c r="E182" s="31"/>
      <c r="F182" s="31"/>
      <c r="G182" s="31"/>
      <c r="J182" s="192"/>
      <c r="AL182" s="192"/>
      <c r="BN182" s="192"/>
      <c r="BY182" s="64"/>
    </row>
    <row r="183" spans="1:77" s="29" customFormat="1" x14ac:dyDescent="0.2">
      <c r="A183" s="47"/>
      <c r="B183" s="47"/>
      <c r="C183" s="31"/>
      <c r="D183" s="31"/>
      <c r="E183" s="31"/>
      <c r="F183" s="31"/>
      <c r="G183" s="31"/>
      <c r="J183" s="192"/>
      <c r="AL183" s="192"/>
      <c r="BN183" s="192"/>
      <c r="BY183" s="64"/>
    </row>
    <row r="184" spans="1:77" s="29" customFormat="1" x14ac:dyDescent="0.2">
      <c r="A184" s="47"/>
      <c r="B184" s="47"/>
      <c r="C184" s="31"/>
      <c r="D184" s="31"/>
      <c r="E184" s="31"/>
      <c r="F184" s="31"/>
      <c r="G184" s="31"/>
      <c r="J184" s="192"/>
      <c r="AL184" s="192"/>
      <c r="BN184" s="192"/>
      <c r="BY184" s="64"/>
    </row>
    <row r="185" spans="1:77" s="29" customFormat="1" x14ac:dyDescent="0.2">
      <c r="A185" s="47"/>
      <c r="B185" s="47"/>
      <c r="C185" s="31"/>
      <c r="D185" s="31"/>
      <c r="E185" s="31"/>
      <c r="F185" s="31"/>
      <c r="G185" s="31"/>
      <c r="J185" s="192"/>
      <c r="AL185" s="192"/>
      <c r="BN185" s="192"/>
      <c r="BY185" s="64"/>
    </row>
    <row r="186" spans="1:77" s="29" customFormat="1" x14ac:dyDescent="0.2">
      <c r="A186" s="47"/>
      <c r="B186" s="47"/>
      <c r="C186" s="31"/>
      <c r="D186" s="31"/>
      <c r="E186" s="31"/>
      <c r="F186" s="31"/>
      <c r="G186" s="31"/>
      <c r="J186" s="192"/>
      <c r="AL186" s="192"/>
      <c r="BN186" s="192"/>
      <c r="BY186" s="64"/>
    </row>
    <row r="187" spans="1:77" s="29" customFormat="1" x14ac:dyDescent="0.2">
      <c r="A187" s="47"/>
      <c r="B187" s="47"/>
      <c r="C187" s="31"/>
      <c r="D187" s="31"/>
      <c r="E187" s="31"/>
      <c r="F187" s="31"/>
      <c r="G187" s="31"/>
      <c r="J187" s="192"/>
      <c r="AL187" s="192"/>
      <c r="BN187" s="192"/>
      <c r="BY187" s="64"/>
    </row>
    <row r="188" spans="1:77" s="29" customFormat="1" x14ac:dyDescent="0.2">
      <c r="A188" s="47"/>
      <c r="B188" s="47"/>
      <c r="C188" s="31"/>
      <c r="D188" s="31"/>
      <c r="E188" s="31"/>
      <c r="F188" s="31"/>
      <c r="G188" s="31"/>
      <c r="J188" s="192"/>
      <c r="AL188" s="192"/>
      <c r="BN188" s="192"/>
      <c r="BY188" s="64"/>
    </row>
    <row r="189" spans="1:77" s="29" customFormat="1" x14ac:dyDescent="0.2">
      <c r="A189" s="47"/>
      <c r="B189" s="47"/>
      <c r="C189" s="31"/>
      <c r="D189" s="31"/>
      <c r="E189" s="31"/>
      <c r="F189" s="31"/>
      <c r="G189" s="31"/>
      <c r="J189" s="192"/>
      <c r="AL189" s="192"/>
      <c r="BN189" s="192"/>
      <c r="BY189" s="64"/>
    </row>
    <row r="190" spans="1:77" s="29" customFormat="1" x14ac:dyDescent="0.2">
      <c r="A190" s="47"/>
      <c r="B190" s="47"/>
      <c r="C190" s="31"/>
      <c r="D190" s="31"/>
      <c r="E190" s="31"/>
      <c r="F190" s="31"/>
      <c r="G190" s="31"/>
      <c r="J190" s="192"/>
      <c r="AL190" s="192"/>
      <c r="BN190" s="192"/>
      <c r="BY190" s="64"/>
    </row>
    <row r="191" spans="1:77" s="29" customFormat="1" x14ac:dyDescent="0.2">
      <c r="A191" s="47"/>
      <c r="B191" s="47"/>
      <c r="C191" s="31"/>
      <c r="D191" s="31"/>
      <c r="E191" s="31"/>
      <c r="F191" s="31"/>
      <c r="G191" s="31"/>
      <c r="J191" s="192"/>
      <c r="AL191" s="192"/>
      <c r="BN191" s="192"/>
      <c r="BY191" s="64"/>
    </row>
    <row r="192" spans="1:77" s="29" customFormat="1" x14ac:dyDescent="0.2">
      <c r="A192" s="47"/>
      <c r="B192" s="47"/>
      <c r="C192" s="31"/>
      <c r="D192" s="31"/>
      <c r="E192" s="31"/>
      <c r="F192" s="31"/>
      <c r="G192" s="31"/>
      <c r="J192" s="192"/>
      <c r="AL192" s="192"/>
      <c r="BN192" s="192"/>
      <c r="BY192" s="64"/>
    </row>
    <row r="193" spans="1:77" s="29" customFormat="1" x14ac:dyDescent="0.2">
      <c r="A193" s="47"/>
      <c r="B193" s="47"/>
      <c r="C193" s="31"/>
      <c r="D193" s="31"/>
      <c r="E193" s="31"/>
      <c r="F193" s="31"/>
      <c r="G193" s="31"/>
      <c r="J193" s="192"/>
      <c r="AL193" s="192"/>
      <c r="BN193" s="192"/>
      <c r="BY193" s="64"/>
    </row>
    <row r="194" spans="1:77" s="29" customFormat="1" x14ac:dyDescent="0.2">
      <c r="A194" s="47"/>
      <c r="B194" s="47"/>
      <c r="C194" s="31"/>
      <c r="D194" s="31"/>
      <c r="E194" s="31"/>
      <c r="F194" s="31"/>
      <c r="G194" s="31"/>
      <c r="J194" s="192"/>
      <c r="AL194" s="192"/>
      <c r="BN194" s="192"/>
      <c r="BY194" s="64"/>
    </row>
    <row r="195" spans="1:77" s="29" customFormat="1" x14ac:dyDescent="0.2">
      <c r="A195" s="47"/>
      <c r="B195" s="47"/>
      <c r="C195" s="31"/>
      <c r="D195" s="31"/>
      <c r="E195" s="31"/>
      <c r="F195" s="31"/>
      <c r="G195" s="31"/>
      <c r="J195" s="192"/>
      <c r="AL195" s="192"/>
      <c r="BN195" s="192"/>
      <c r="BY195" s="64"/>
    </row>
    <row r="196" spans="1:77" s="29" customFormat="1" x14ac:dyDescent="0.2">
      <c r="A196" s="47"/>
      <c r="B196" s="47"/>
      <c r="C196" s="31"/>
      <c r="D196" s="31"/>
      <c r="E196" s="31"/>
      <c r="F196" s="31"/>
      <c r="G196" s="31"/>
      <c r="J196" s="192"/>
      <c r="AL196" s="192"/>
      <c r="BN196" s="192"/>
      <c r="BY196" s="64"/>
    </row>
    <row r="197" spans="1:77" s="29" customFormat="1" x14ac:dyDescent="0.2">
      <c r="A197" s="47"/>
      <c r="B197" s="47"/>
      <c r="C197" s="31"/>
      <c r="D197" s="31"/>
      <c r="E197" s="31"/>
      <c r="F197" s="31"/>
      <c r="G197" s="31"/>
      <c r="J197" s="192"/>
      <c r="AL197" s="192"/>
      <c r="BN197" s="192"/>
      <c r="BY197" s="64"/>
    </row>
    <row r="198" spans="1:77" s="29" customFormat="1" x14ac:dyDescent="0.2">
      <c r="A198" s="47"/>
      <c r="B198" s="47"/>
      <c r="C198" s="31"/>
      <c r="D198" s="31"/>
      <c r="E198" s="31"/>
      <c r="F198" s="31"/>
      <c r="G198" s="31"/>
      <c r="J198" s="192"/>
      <c r="AL198" s="192"/>
      <c r="BN198" s="192"/>
      <c r="BY198" s="64"/>
    </row>
    <row r="199" spans="1:77" s="29" customFormat="1" x14ac:dyDescent="0.2">
      <c r="A199" s="47"/>
      <c r="B199" s="47"/>
      <c r="C199" s="31"/>
      <c r="D199" s="31"/>
      <c r="E199" s="31"/>
      <c r="F199" s="31"/>
      <c r="G199" s="31"/>
      <c r="J199" s="192"/>
      <c r="AL199" s="192"/>
      <c r="BN199" s="192"/>
      <c r="BY199" s="64"/>
    </row>
    <row r="200" spans="1:77" s="29" customFormat="1" x14ac:dyDescent="0.2">
      <c r="A200" s="47"/>
      <c r="B200" s="47"/>
      <c r="C200" s="31"/>
      <c r="D200" s="31"/>
      <c r="E200" s="31"/>
      <c r="F200" s="31"/>
      <c r="G200" s="31"/>
      <c r="J200" s="192"/>
      <c r="AL200" s="192"/>
      <c r="BN200" s="192"/>
      <c r="BY200" s="64"/>
    </row>
    <row r="201" spans="1:77" s="29" customFormat="1" x14ac:dyDescent="0.2">
      <c r="A201" s="47"/>
      <c r="B201" s="47"/>
      <c r="C201" s="31"/>
      <c r="D201" s="31"/>
      <c r="E201" s="31"/>
      <c r="F201" s="31"/>
      <c r="G201" s="31"/>
      <c r="J201" s="192"/>
      <c r="AL201" s="192"/>
      <c r="BN201" s="192"/>
      <c r="BY201" s="64"/>
    </row>
    <row r="202" spans="1:77" s="29" customFormat="1" x14ac:dyDescent="0.2">
      <c r="A202" s="47"/>
      <c r="B202" s="47"/>
      <c r="C202" s="31"/>
      <c r="D202" s="31"/>
      <c r="E202" s="31"/>
      <c r="F202" s="31"/>
      <c r="G202" s="31"/>
      <c r="J202" s="192"/>
      <c r="AL202" s="192"/>
      <c r="BN202" s="192"/>
      <c r="BY202" s="64"/>
    </row>
    <row r="203" spans="1:77" s="29" customFormat="1" ht="19.5" customHeight="1" x14ac:dyDescent="0.2">
      <c r="A203" s="47"/>
      <c r="B203" s="47"/>
      <c r="C203" s="31"/>
      <c r="D203" s="31"/>
      <c r="E203" s="31"/>
      <c r="F203" s="31"/>
      <c r="G203" s="31"/>
      <c r="J203" s="192"/>
      <c r="AL203" s="192"/>
      <c r="BN203" s="192"/>
      <c r="BY203" s="66"/>
    </row>
    <row r="204" spans="1:77" s="29" customFormat="1" x14ac:dyDescent="0.2">
      <c r="A204" s="47"/>
      <c r="B204" s="47"/>
      <c r="C204" s="31"/>
      <c r="D204" s="31"/>
      <c r="E204" s="31"/>
      <c r="F204" s="31"/>
      <c r="G204" s="31"/>
      <c r="I204" s="31"/>
      <c r="J204" s="198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198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198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64"/>
    </row>
    <row r="205" spans="1:77" s="29" customFormat="1" x14ac:dyDescent="0.2">
      <c r="A205" s="47"/>
      <c r="B205" s="47"/>
      <c r="C205" s="31"/>
      <c r="D205" s="31"/>
      <c r="E205" s="31"/>
      <c r="F205" s="31"/>
      <c r="G205" s="31"/>
      <c r="I205" s="31"/>
      <c r="J205" s="198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198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198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64"/>
    </row>
    <row r="206" spans="1:77" s="29" customFormat="1" x14ac:dyDescent="0.2">
      <c r="A206" s="47"/>
      <c r="B206" s="47"/>
      <c r="C206" s="31"/>
      <c r="D206" s="31"/>
      <c r="E206" s="31"/>
      <c r="F206" s="31"/>
      <c r="G206" s="31"/>
      <c r="J206" s="192"/>
      <c r="AL206" s="192"/>
      <c r="BN206" s="192"/>
    </row>
    <row r="207" spans="1:77" s="29" customFormat="1" x14ac:dyDescent="0.2">
      <c r="A207" s="47"/>
      <c r="B207" s="47"/>
      <c r="C207" s="31"/>
      <c r="D207" s="31"/>
      <c r="E207" s="31"/>
      <c r="F207" s="31"/>
      <c r="G207" s="31"/>
      <c r="J207" s="192"/>
      <c r="AL207" s="192"/>
      <c r="BN207" s="192"/>
    </row>
    <row r="208" spans="1:77" s="29" customFormat="1" x14ac:dyDescent="0.2">
      <c r="A208" s="47"/>
      <c r="B208" s="47"/>
      <c r="C208" s="31"/>
      <c r="D208" s="31"/>
      <c r="E208" s="31"/>
      <c r="F208" s="31"/>
      <c r="G208" s="31"/>
      <c r="J208" s="192"/>
      <c r="AL208" s="192"/>
      <c r="BN208" s="192"/>
    </row>
    <row r="209" spans="1:66" s="29" customFormat="1" x14ac:dyDescent="0.2">
      <c r="A209" s="47"/>
      <c r="B209" s="47"/>
      <c r="C209" s="31"/>
      <c r="D209" s="31"/>
      <c r="E209" s="31"/>
      <c r="F209" s="31"/>
      <c r="G209" s="31"/>
      <c r="J209" s="192"/>
      <c r="AL209" s="192"/>
      <c r="BN209" s="192"/>
    </row>
    <row r="210" spans="1:66" s="29" customFormat="1" x14ac:dyDescent="0.2">
      <c r="A210" s="47"/>
      <c r="B210" s="47"/>
      <c r="C210" s="31"/>
      <c r="D210" s="31"/>
      <c r="E210" s="31"/>
      <c r="F210" s="31"/>
      <c r="G210" s="31"/>
      <c r="J210" s="192"/>
      <c r="AL210" s="192"/>
      <c r="BN210" s="192"/>
    </row>
    <row r="211" spans="1:66" s="29" customFormat="1" x14ac:dyDescent="0.2">
      <c r="A211" s="47"/>
      <c r="B211" s="47"/>
      <c r="C211" s="31"/>
      <c r="D211" s="31"/>
      <c r="E211" s="31"/>
      <c r="F211" s="31"/>
      <c r="G211" s="31"/>
      <c r="J211" s="192"/>
      <c r="AL211" s="192"/>
      <c r="BN211" s="192"/>
    </row>
    <row r="212" spans="1:66" s="29" customFormat="1" x14ac:dyDescent="0.2">
      <c r="A212" s="47"/>
      <c r="B212" s="47"/>
      <c r="C212" s="31"/>
      <c r="D212" s="31"/>
      <c r="E212" s="31"/>
      <c r="F212" s="31"/>
      <c r="G212" s="31"/>
      <c r="J212" s="192"/>
      <c r="AL212" s="192"/>
      <c r="BN212" s="192"/>
    </row>
    <row r="213" spans="1:66" s="29" customFormat="1" x14ac:dyDescent="0.2">
      <c r="A213" s="47"/>
      <c r="B213" s="47"/>
      <c r="C213" s="31"/>
      <c r="D213" s="31"/>
      <c r="E213" s="31"/>
      <c r="F213" s="31"/>
      <c r="G213" s="31"/>
      <c r="J213" s="192"/>
      <c r="AL213" s="192"/>
      <c r="BN213" s="192"/>
    </row>
    <row r="214" spans="1:66" s="29" customFormat="1" x14ac:dyDescent="0.2">
      <c r="A214" s="47"/>
      <c r="B214" s="47"/>
      <c r="C214" s="31"/>
      <c r="D214" s="31"/>
      <c r="E214" s="31"/>
      <c r="F214" s="31"/>
      <c r="G214" s="31"/>
      <c r="J214" s="192"/>
      <c r="AL214" s="192"/>
      <c r="BN214" s="192"/>
    </row>
    <row r="215" spans="1:66" s="29" customFormat="1" x14ac:dyDescent="0.2">
      <c r="A215" s="47"/>
      <c r="B215" s="47"/>
      <c r="C215" s="31"/>
      <c r="D215" s="31"/>
      <c r="E215" s="31"/>
      <c r="F215" s="31"/>
      <c r="G215" s="31"/>
      <c r="J215" s="192"/>
      <c r="AL215" s="192"/>
      <c r="BN215" s="192"/>
    </row>
    <row r="216" spans="1:66" s="29" customFormat="1" x14ac:dyDescent="0.2">
      <c r="A216" s="47"/>
      <c r="B216" s="47"/>
      <c r="C216" s="31"/>
      <c r="D216" s="31"/>
      <c r="E216" s="31"/>
      <c r="F216" s="31"/>
      <c r="G216" s="31"/>
      <c r="J216" s="192"/>
      <c r="AL216" s="192"/>
      <c r="BN216" s="192"/>
    </row>
    <row r="217" spans="1:66" s="29" customFormat="1" x14ac:dyDescent="0.2">
      <c r="A217" s="47"/>
      <c r="B217" s="47"/>
      <c r="C217" s="31"/>
      <c r="D217" s="31"/>
      <c r="E217" s="31"/>
      <c r="F217" s="31"/>
      <c r="G217" s="31"/>
      <c r="J217" s="192"/>
      <c r="AL217" s="192"/>
      <c r="BN217" s="192"/>
    </row>
    <row r="218" spans="1:66" s="29" customFormat="1" x14ac:dyDescent="0.2">
      <c r="A218" s="47"/>
      <c r="B218" s="47"/>
      <c r="C218" s="31"/>
      <c r="D218" s="31"/>
      <c r="E218" s="31"/>
      <c r="F218" s="31"/>
      <c r="G218" s="31"/>
      <c r="J218" s="192"/>
      <c r="AL218" s="192"/>
      <c r="BN218" s="192"/>
    </row>
    <row r="219" spans="1:66" s="29" customFormat="1" x14ac:dyDescent="0.2">
      <c r="A219" s="47"/>
      <c r="B219" s="47"/>
      <c r="C219" s="31"/>
      <c r="D219" s="31"/>
      <c r="E219" s="31"/>
      <c r="F219" s="31"/>
      <c r="G219" s="31"/>
      <c r="J219" s="192"/>
      <c r="AL219" s="192"/>
      <c r="BN219" s="192"/>
    </row>
    <row r="220" spans="1:66" s="29" customFormat="1" x14ac:dyDescent="0.2">
      <c r="A220" s="47"/>
      <c r="B220" s="47"/>
      <c r="C220" s="31"/>
      <c r="D220" s="31"/>
      <c r="E220" s="31"/>
      <c r="F220" s="31"/>
      <c r="G220" s="31"/>
      <c r="J220" s="192"/>
      <c r="AL220" s="192"/>
      <c r="BN220" s="192"/>
    </row>
    <row r="221" spans="1:66" s="29" customFormat="1" x14ac:dyDescent="0.2">
      <c r="A221" s="47"/>
      <c r="B221" s="47"/>
      <c r="C221" s="31"/>
      <c r="D221" s="31"/>
      <c r="E221" s="31"/>
      <c r="F221" s="31"/>
      <c r="G221" s="31"/>
      <c r="J221" s="192"/>
      <c r="AL221" s="192"/>
      <c r="BN221" s="192"/>
    </row>
    <row r="222" spans="1:66" s="29" customFormat="1" x14ac:dyDescent="0.2">
      <c r="A222" s="47"/>
      <c r="B222" s="47"/>
      <c r="C222" s="31"/>
      <c r="D222" s="31"/>
      <c r="E222" s="31"/>
      <c r="F222" s="31"/>
      <c r="G222" s="31"/>
      <c r="J222" s="192"/>
      <c r="AL222" s="192"/>
      <c r="BN222" s="192"/>
    </row>
    <row r="223" spans="1:66" s="29" customFormat="1" x14ac:dyDescent="0.2">
      <c r="A223" s="47"/>
      <c r="B223" s="47"/>
      <c r="C223" s="31"/>
      <c r="D223" s="31"/>
      <c r="E223" s="31"/>
      <c r="F223" s="31"/>
      <c r="G223" s="31"/>
      <c r="J223" s="192"/>
      <c r="AL223" s="192"/>
      <c r="BN223" s="192"/>
    </row>
    <row r="224" spans="1:66" s="29" customFormat="1" x14ac:dyDescent="0.2">
      <c r="A224" s="47"/>
      <c r="B224" s="47"/>
      <c r="C224" s="31"/>
      <c r="D224" s="31"/>
      <c r="E224" s="31"/>
      <c r="F224" s="31"/>
      <c r="G224" s="31"/>
      <c r="J224" s="192"/>
      <c r="AL224" s="192"/>
      <c r="BN224" s="192"/>
    </row>
    <row r="225" spans="1:66" s="29" customFormat="1" x14ac:dyDescent="0.2">
      <c r="A225" s="47"/>
      <c r="B225" s="47"/>
      <c r="C225" s="31"/>
      <c r="D225" s="31"/>
      <c r="E225" s="31"/>
      <c r="F225" s="31"/>
      <c r="G225" s="31"/>
      <c r="J225" s="192"/>
      <c r="AL225" s="192"/>
      <c r="BN225" s="192"/>
    </row>
    <row r="226" spans="1:66" s="29" customFormat="1" x14ac:dyDescent="0.2">
      <c r="A226" s="47"/>
      <c r="B226" s="47"/>
      <c r="C226" s="31"/>
      <c r="D226" s="31"/>
      <c r="E226" s="31"/>
      <c r="F226" s="31"/>
      <c r="G226" s="31"/>
      <c r="J226" s="192"/>
      <c r="AL226" s="192"/>
      <c r="BN226" s="192"/>
    </row>
    <row r="227" spans="1:66" s="29" customFormat="1" x14ac:dyDescent="0.2">
      <c r="A227" s="47"/>
      <c r="B227" s="47"/>
      <c r="C227" s="31"/>
      <c r="D227" s="31"/>
      <c r="E227" s="31"/>
      <c r="F227" s="31"/>
      <c r="G227" s="31"/>
      <c r="J227" s="192"/>
      <c r="AL227" s="192"/>
      <c r="BN227" s="192"/>
    </row>
    <row r="228" spans="1:66" s="29" customFormat="1" x14ac:dyDescent="0.2">
      <c r="A228" s="47"/>
      <c r="B228" s="47"/>
      <c r="C228" s="31"/>
      <c r="D228" s="31"/>
      <c r="E228" s="31"/>
      <c r="F228" s="31"/>
      <c r="G228" s="31"/>
      <c r="J228" s="192"/>
      <c r="AL228" s="192"/>
      <c r="BN228" s="192"/>
    </row>
    <row r="229" spans="1:66" s="29" customFormat="1" x14ac:dyDescent="0.2">
      <c r="A229" s="47"/>
      <c r="B229" s="47"/>
      <c r="C229" s="31"/>
      <c r="D229" s="31"/>
      <c r="E229" s="31"/>
      <c r="F229" s="31"/>
      <c r="G229" s="31"/>
      <c r="J229" s="192"/>
      <c r="AL229" s="192"/>
      <c r="BN229" s="192"/>
    </row>
    <row r="230" spans="1:66" s="29" customFormat="1" x14ac:dyDescent="0.2">
      <c r="A230" s="47"/>
      <c r="B230" s="47"/>
      <c r="C230" s="31"/>
      <c r="D230" s="31"/>
      <c r="E230" s="31"/>
      <c r="F230" s="31"/>
      <c r="G230" s="31"/>
      <c r="J230" s="192"/>
      <c r="AL230" s="192"/>
      <c r="BN230" s="192"/>
    </row>
    <row r="231" spans="1:66" s="29" customFormat="1" x14ac:dyDescent="0.2">
      <c r="A231" s="47"/>
      <c r="B231" s="47"/>
      <c r="C231" s="31"/>
      <c r="D231" s="31"/>
      <c r="E231" s="31"/>
      <c r="F231" s="31"/>
      <c r="G231" s="31"/>
      <c r="J231" s="192"/>
      <c r="AL231" s="192"/>
      <c r="BN231" s="192"/>
    </row>
    <row r="232" spans="1:66" s="29" customFormat="1" x14ac:dyDescent="0.2">
      <c r="A232" s="47"/>
      <c r="B232" s="47"/>
      <c r="C232" s="31"/>
      <c r="D232" s="31"/>
      <c r="E232" s="31"/>
      <c r="F232" s="31"/>
      <c r="G232" s="31"/>
      <c r="J232" s="192"/>
      <c r="AL232" s="192"/>
      <c r="BN232" s="192"/>
    </row>
    <row r="233" spans="1:66" s="29" customFormat="1" x14ac:dyDescent="0.2">
      <c r="A233" s="47"/>
      <c r="B233" s="47"/>
      <c r="C233" s="31"/>
      <c r="D233" s="31"/>
      <c r="E233" s="31"/>
      <c r="F233" s="31"/>
      <c r="G233" s="31"/>
      <c r="J233" s="192"/>
      <c r="AL233" s="192"/>
      <c r="BN233" s="192"/>
    </row>
    <row r="234" spans="1:66" s="29" customFormat="1" x14ac:dyDescent="0.2">
      <c r="A234" s="47"/>
      <c r="B234" s="47"/>
      <c r="C234" s="31"/>
      <c r="D234" s="31"/>
      <c r="E234" s="31"/>
      <c r="F234" s="31"/>
      <c r="G234" s="31"/>
      <c r="J234" s="192"/>
      <c r="AL234" s="192"/>
      <c r="BN234" s="192"/>
    </row>
    <row r="235" spans="1:66" s="29" customFormat="1" x14ac:dyDescent="0.2">
      <c r="A235" s="47"/>
      <c r="B235" s="47"/>
      <c r="C235" s="31"/>
      <c r="D235" s="31"/>
      <c r="E235" s="31"/>
      <c r="F235" s="31"/>
      <c r="G235" s="31"/>
      <c r="J235" s="192"/>
      <c r="AL235" s="192"/>
      <c r="BN235" s="192"/>
    </row>
    <row r="236" spans="1:66" s="29" customFormat="1" x14ac:dyDescent="0.2">
      <c r="A236" s="47"/>
      <c r="B236" s="47"/>
      <c r="C236" s="31"/>
      <c r="D236" s="31"/>
      <c r="E236" s="31"/>
      <c r="F236" s="31"/>
      <c r="G236" s="31"/>
      <c r="J236" s="192"/>
      <c r="AL236" s="192"/>
      <c r="BN236" s="192"/>
    </row>
    <row r="237" spans="1:66" s="29" customFormat="1" x14ac:dyDescent="0.2">
      <c r="A237" s="47"/>
      <c r="B237" s="47"/>
      <c r="C237" s="31"/>
      <c r="D237" s="31"/>
      <c r="E237" s="31"/>
      <c r="F237" s="31"/>
      <c r="G237" s="31"/>
      <c r="J237" s="192"/>
      <c r="AL237" s="192"/>
      <c r="BN237" s="192"/>
    </row>
    <row r="238" spans="1:66" s="29" customFormat="1" x14ac:dyDescent="0.2">
      <c r="A238" s="47"/>
      <c r="B238" s="47"/>
      <c r="C238" s="31"/>
      <c r="D238" s="31"/>
      <c r="E238" s="31"/>
      <c r="F238" s="31"/>
      <c r="G238" s="31"/>
      <c r="J238" s="192"/>
      <c r="AL238" s="192"/>
      <c r="BN238" s="192"/>
    </row>
    <row r="239" spans="1:66" s="29" customFormat="1" x14ac:dyDescent="0.2">
      <c r="A239" s="47"/>
      <c r="B239" s="47"/>
      <c r="C239" s="31"/>
      <c r="D239" s="31"/>
      <c r="E239" s="31"/>
      <c r="F239" s="31"/>
      <c r="G239" s="31"/>
      <c r="J239" s="192"/>
      <c r="AL239" s="192"/>
      <c r="BN239" s="192"/>
    </row>
    <row r="240" spans="1:66" s="29" customFormat="1" x14ac:dyDescent="0.2">
      <c r="A240" s="47"/>
      <c r="B240" s="47"/>
      <c r="C240" s="31"/>
      <c r="D240" s="31"/>
      <c r="E240" s="31"/>
      <c r="F240" s="31"/>
      <c r="G240" s="31"/>
      <c r="J240" s="192"/>
      <c r="AL240" s="192"/>
      <c r="BN240" s="192"/>
    </row>
    <row r="241" spans="1:66" s="29" customFormat="1" x14ac:dyDescent="0.2">
      <c r="A241" s="47"/>
      <c r="B241" s="47"/>
      <c r="C241" s="31"/>
      <c r="D241" s="31"/>
      <c r="E241" s="31"/>
      <c r="F241" s="31"/>
      <c r="G241" s="31"/>
      <c r="J241" s="192"/>
      <c r="AL241" s="192"/>
      <c r="BN241" s="192"/>
    </row>
    <row r="242" spans="1:66" s="29" customFormat="1" x14ac:dyDescent="0.2">
      <c r="A242" s="47"/>
      <c r="B242" s="47"/>
      <c r="C242" s="31"/>
      <c r="D242" s="31"/>
      <c r="E242" s="31"/>
      <c r="F242" s="31"/>
      <c r="G242" s="31"/>
      <c r="J242" s="192"/>
      <c r="AL242" s="192"/>
      <c r="BN242" s="192"/>
    </row>
    <row r="243" spans="1:66" s="29" customFormat="1" x14ac:dyDescent="0.2">
      <c r="A243" s="47"/>
      <c r="B243" s="47"/>
      <c r="C243" s="31"/>
      <c r="D243" s="31"/>
      <c r="E243" s="31"/>
      <c r="F243" s="31"/>
      <c r="G243" s="31"/>
      <c r="J243" s="192"/>
      <c r="AL243" s="192"/>
      <c r="BN243" s="192"/>
    </row>
    <row r="244" spans="1:66" s="29" customFormat="1" x14ac:dyDescent="0.2">
      <c r="A244" s="47"/>
      <c r="B244" s="47"/>
      <c r="C244" s="31"/>
      <c r="D244" s="31"/>
      <c r="E244" s="31"/>
      <c r="F244" s="31"/>
      <c r="G244" s="31"/>
      <c r="J244" s="192"/>
      <c r="AL244" s="192"/>
      <c r="BN244" s="192"/>
    </row>
    <row r="245" spans="1:66" s="29" customFormat="1" x14ac:dyDescent="0.2">
      <c r="A245" s="47"/>
      <c r="B245" s="47"/>
      <c r="C245" s="31"/>
      <c r="D245" s="31"/>
      <c r="E245" s="31"/>
      <c r="F245" s="31"/>
      <c r="G245" s="31"/>
      <c r="J245" s="192"/>
      <c r="AL245" s="192"/>
      <c r="BN245" s="192"/>
    </row>
  </sheetData>
  <mergeCells count="5">
    <mergeCell ref="D3:G3"/>
    <mergeCell ref="A2:G2"/>
    <mergeCell ref="A1:D1"/>
    <mergeCell ref="A98:F98"/>
    <mergeCell ref="A97:F97"/>
  </mergeCells>
  <pageMargins left="1.24" right="0.3" top="0.42" bottom="0.55000000000000004" header="0.37" footer="0.33"/>
  <pageSetup scale="80" orientation="portrait" horizontalDpi="300" verticalDpi="300" r:id="rId1"/>
  <headerFooter alignWithMargins="0">
    <oddFooter>&amp;RPage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2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5546875" defaultRowHeight="12.75" x14ac:dyDescent="0.2"/>
  <cols>
    <col min="1" max="1" width="9.42578125" style="43" customWidth="1"/>
    <col min="2" max="2" width="10" style="43" customWidth="1"/>
    <col min="3" max="44" width="10" customWidth="1"/>
    <col min="45" max="252" width="9.140625" customWidth="1"/>
  </cols>
  <sheetData>
    <row r="1" spans="1:22" ht="18" x14ac:dyDescent="0.25">
      <c r="A1" s="80" t="s">
        <v>45</v>
      </c>
    </row>
    <row r="2" spans="1:22" ht="20.25" customHeight="1" x14ac:dyDescent="0.2">
      <c r="A2" s="113" t="s">
        <v>24</v>
      </c>
    </row>
    <row r="3" spans="1:22" ht="15.75" x14ac:dyDescent="0.25">
      <c r="A3" s="81" t="s">
        <v>25</v>
      </c>
      <c r="C3" s="20">
        <f>L8</f>
        <v>36680</v>
      </c>
      <c r="D3" s="19"/>
    </row>
    <row r="4" spans="1:22" ht="15.75" x14ac:dyDescent="0.25">
      <c r="A4" s="81" t="s">
        <v>26</v>
      </c>
      <c r="C4" s="4" t="s">
        <v>27</v>
      </c>
      <c r="E4" s="4" t="s">
        <v>63</v>
      </c>
    </row>
    <row r="5" spans="1:22" ht="16.5" thickBot="1" x14ac:dyDescent="0.3">
      <c r="A5" s="81" t="s">
        <v>28</v>
      </c>
      <c r="C5" s="4" t="s">
        <v>42</v>
      </c>
    </row>
    <row r="6" spans="1:22" ht="21.75" customHeight="1" thickBot="1" x14ac:dyDescent="0.25">
      <c r="A6" s="117"/>
      <c r="R6" s="221" t="s">
        <v>55</v>
      </c>
      <c r="S6" s="222"/>
    </row>
    <row r="7" spans="1:22" s="85" customFormat="1" ht="54" customHeight="1" thickBot="1" x14ac:dyDescent="0.25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5" customHeight="1" thickBot="1" x14ac:dyDescent="0.25">
      <c r="A8" s="78"/>
      <c r="B8" s="79"/>
      <c r="C8" s="73">
        <v>36677</v>
      </c>
      <c r="D8" s="74"/>
      <c r="E8" s="75" t="str">
        <f>TEXT(WEEKDAY(C8),"dddd")</f>
        <v>Wednesday</v>
      </c>
      <c r="F8" s="73">
        <v>36678</v>
      </c>
      <c r="G8" s="74"/>
      <c r="H8" s="75" t="str">
        <f>TEXT(WEEKDAY(F8),"dddd")</f>
        <v>Thursday</v>
      </c>
      <c r="I8" s="73">
        <v>36679</v>
      </c>
      <c r="J8" s="74"/>
      <c r="K8" s="75" t="str">
        <f>TEXT(WEEKDAY(I8),"dddd")</f>
        <v>Friday</v>
      </c>
      <c r="L8" s="73">
        <v>36680</v>
      </c>
      <c r="M8" s="74"/>
      <c r="N8" s="75" t="str">
        <f>TEXT(WEEKDAY(L8),"dddd")</f>
        <v>Saturday</v>
      </c>
      <c r="O8" s="71"/>
      <c r="P8" s="72"/>
      <c r="Q8" s="128"/>
      <c r="R8" s="129"/>
      <c r="S8" s="156">
        <f>Summary!$C$110</f>
        <v>5000</v>
      </c>
      <c r="T8" s="144"/>
      <c r="U8" s="130"/>
    </row>
    <row r="9" spans="1:22" ht="51" hidden="1" x14ac:dyDescent="0.2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>K9+H9+E9</f>
        <v>#VALUE!</v>
      </c>
      <c r="P9" s="5"/>
      <c r="Q9" s="118"/>
      <c r="R9" s="119"/>
    </row>
    <row r="10" spans="1:22" x14ac:dyDescent="0.2">
      <c r="A10" s="42">
        <v>1117</v>
      </c>
      <c r="B10" s="77" t="s">
        <v>8</v>
      </c>
      <c r="C10" s="10">
        <v>229</v>
      </c>
      <c r="D10" s="5">
        <v>214</v>
      </c>
      <c r="E10" s="5">
        <v>15</v>
      </c>
      <c r="F10" s="10">
        <v>167</v>
      </c>
      <c r="G10" s="5">
        <v>234</v>
      </c>
      <c r="H10" s="5">
        <v>-67</v>
      </c>
      <c r="I10" s="10">
        <v>167</v>
      </c>
      <c r="J10" s="5">
        <v>227</v>
      </c>
      <c r="K10" s="5">
        <v>-60</v>
      </c>
      <c r="L10" s="10">
        <v>167</v>
      </c>
      <c r="M10" s="5">
        <v>212</v>
      </c>
      <c r="N10" s="5">
        <v>-45</v>
      </c>
      <c r="O10" s="10">
        <f t="shared" ref="O10:O52" si="0">K10+H10+E10</f>
        <v>-112</v>
      </c>
      <c r="P10" s="97">
        <f t="shared" ref="P10:P52" si="1">O10/(J10+G10+D10+1)</f>
        <v>-0.16568047337278108</v>
      </c>
      <c r="Q10" s="134" t="str">
        <f t="shared" ref="Q10:Q37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 xml:space="preserve"> </v>
      </c>
      <c r="V10" s="25" t="str">
        <f t="shared" ref="V10:V56" si="3">IF(S10 = "X",L10-I10," ")</f>
        <v xml:space="preserve"> </v>
      </c>
    </row>
    <row r="11" spans="1:22" x14ac:dyDescent="0.2">
      <c r="A11" s="42">
        <v>1126</v>
      </c>
      <c r="B11" s="77" t="s">
        <v>8</v>
      </c>
      <c r="C11" s="10">
        <v>0</v>
      </c>
      <c r="D11" s="5">
        <v>67</v>
      </c>
      <c r="E11" s="5">
        <v>-67</v>
      </c>
      <c r="F11" s="10">
        <v>0</v>
      </c>
      <c r="G11" s="5">
        <v>74</v>
      </c>
      <c r="H11" s="5">
        <v>-74</v>
      </c>
      <c r="I11" s="10">
        <v>0</v>
      </c>
      <c r="J11" s="5">
        <v>71</v>
      </c>
      <c r="K11" s="5">
        <v>-71</v>
      </c>
      <c r="L11" s="10">
        <v>0</v>
      </c>
      <c r="M11" s="5">
        <v>67</v>
      </c>
      <c r="N11" s="5">
        <v>-67</v>
      </c>
      <c r="O11" s="10">
        <f t="shared" si="0"/>
        <v>-212</v>
      </c>
      <c r="P11" s="97">
        <f t="shared" si="1"/>
        <v>-0.99530516431924887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s="25" t="str">
        <f t="shared" si="3"/>
        <v xml:space="preserve"> </v>
      </c>
    </row>
    <row r="12" spans="1:22" x14ac:dyDescent="0.2">
      <c r="A12" s="42">
        <v>1157</v>
      </c>
      <c r="B12" s="77" t="s">
        <v>8</v>
      </c>
      <c r="C12" s="10">
        <v>100</v>
      </c>
      <c r="D12" s="5">
        <v>105</v>
      </c>
      <c r="E12" s="5">
        <v>-5</v>
      </c>
      <c r="F12" s="10">
        <v>100</v>
      </c>
      <c r="G12" s="5">
        <v>110</v>
      </c>
      <c r="H12" s="5">
        <v>-10</v>
      </c>
      <c r="I12" s="10">
        <v>100</v>
      </c>
      <c r="J12" s="5">
        <v>107</v>
      </c>
      <c r="K12" s="5">
        <v>-7</v>
      </c>
      <c r="L12" s="10">
        <v>100</v>
      </c>
      <c r="M12" s="5">
        <v>100</v>
      </c>
      <c r="N12" s="5">
        <v>0</v>
      </c>
      <c r="O12" s="10">
        <f t="shared" si="0"/>
        <v>-22</v>
      </c>
      <c r="P12" s="97">
        <f t="shared" si="1"/>
        <v>-6.8111455108359129E-2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s="25" t="str">
        <f t="shared" si="3"/>
        <v xml:space="preserve"> </v>
      </c>
    </row>
    <row r="13" spans="1:22" x14ac:dyDescent="0.2">
      <c r="A13" s="42">
        <v>1780</v>
      </c>
      <c r="B13" s="77" t="s">
        <v>8</v>
      </c>
      <c r="C13" s="10">
        <v>970</v>
      </c>
      <c r="D13" s="5">
        <v>1065</v>
      </c>
      <c r="E13" s="5">
        <v>-95</v>
      </c>
      <c r="F13" s="10">
        <v>1000</v>
      </c>
      <c r="G13" s="5">
        <v>1052</v>
      </c>
      <c r="H13" s="5">
        <v>-52</v>
      </c>
      <c r="I13" s="10">
        <v>1000</v>
      </c>
      <c r="J13" s="5">
        <v>1021</v>
      </c>
      <c r="K13" s="5">
        <v>-21</v>
      </c>
      <c r="L13" s="10">
        <v>940</v>
      </c>
      <c r="M13" s="5">
        <v>954</v>
      </c>
      <c r="N13" s="5">
        <v>-14</v>
      </c>
      <c r="O13" s="10">
        <f t="shared" si="0"/>
        <v>-168</v>
      </c>
      <c r="P13" s="97">
        <f t="shared" si="1"/>
        <v>-5.3520229372411597E-2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s="25" t="str">
        <f t="shared" si="3"/>
        <v xml:space="preserve"> </v>
      </c>
    </row>
    <row r="14" spans="1:22" x14ac:dyDescent="0.2">
      <c r="A14" s="42">
        <v>2280</v>
      </c>
      <c r="B14" s="77" t="s">
        <v>8</v>
      </c>
      <c r="C14" s="10">
        <v>840</v>
      </c>
      <c r="D14" s="5">
        <v>663</v>
      </c>
      <c r="E14" s="5">
        <v>177</v>
      </c>
      <c r="F14" s="10">
        <v>681</v>
      </c>
      <c r="G14" s="5">
        <v>846</v>
      </c>
      <c r="H14" s="5">
        <v>-165</v>
      </c>
      <c r="I14" s="10">
        <v>681</v>
      </c>
      <c r="J14" s="5">
        <v>821</v>
      </c>
      <c r="K14" s="5">
        <v>-140</v>
      </c>
      <c r="L14" s="10">
        <v>681</v>
      </c>
      <c r="M14" s="5">
        <v>767</v>
      </c>
      <c r="N14" s="5">
        <v>-86</v>
      </c>
      <c r="O14" s="10">
        <f t="shared" si="0"/>
        <v>-128</v>
      </c>
      <c r="P14" s="97">
        <f t="shared" si="1"/>
        <v>-5.4912054912054913E-2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s="25" t="str">
        <f t="shared" si="3"/>
        <v xml:space="preserve"> </v>
      </c>
    </row>
    <row r="15" spans="1:22" x14ac:dyDescent="0.2">
      <c r="A15" s="42">
        <v>2584</v>
      </c>
      <c r="B15" s="77" t="s">
        <v>8</v>
      </c>
      <c r="C15" s="10">
        <v>7600</v>
      </c>
      <c r="D15" s="5">
        <v>2992</v>
      </c>
      <c r="E15" s="5">
        <v>4608</v>
      </c>
      <c r="F15" s="10">
        <v>3225</v>
      </c>
      <c r="G15" s="5">
        <v>3284</v>
      </c>
      <c r="H15" s="5">
        <v>-59</v>
      </c>
      <c r="I15" s="10">
        <v>3225</v>
      </c>
      <c r="J15" s="5">
        <v>3185</v>
      </c>
      <c r="K15" s="5">
        <v>40</v>
      </c>
      <c r="L15" s="10">
        <v>3000</v>
      </c>
      <c r="M15" s="5">
        <v>2976</v>
      </c>
      <c r="N15" s="5">
        <v>24</v>
      </c>
      <c r="O15" s="10">
        <f t="shared" si="0"/>
        <v>4589</v>
      </c>
      <c r="P15" s="97">
        <f t="shared" si="1"/>
        <v>0.48499260198689492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>X</v>
      </c>
      <c r="V15" s="25" t="str">
        <f t="shared" si="3"/>
        <v xml:space="preserve"> </v>
      </c>
    </row>
    <row r="16" spans="1:22" x14ac:dyDescent="0.2">
      <c r="A16" s="42">
        <v>2771</v>
      </c>
      <c r="B16" s="77" t="s">
        <v>8</v>
      </c>
      <c r="C16" s="10">
        <v>6500</v>
      </c>
      <c r="D16" s="5">
        <v>5942</v>
      </c>
      <c r="E16" s="5">
        <v>558</v>
      </c>
      <c r="F16" s="10">
        <v>0</v>
      </c>
      <c r="G16" s="5">
        <v>6442</v>
      </c>
      <c r="H16" s="5">
        <v>-6442</v>
      </c>
      <c r="I16" s="10">
        <v>3417</v>
      </c>
      <c r="J16" s="5">
        <v>6218</v>
      </c>
      <c r="K16" s="5">
        <v>-2801</v>
      </c>
      <c r="L16" s="10">
        <v>9256</v>
      </c>
      <c r="M16" s="5">
        <v>5818</v>
      </c>
      <c r="N16" s="5">
        <v>3438</v>
      </c>
      <c r="O16" s="10">
        <f t="shared" si="0"/>
        <v>-8685</v>
      </c>
      <c r="P16" s="97">
        <f t="shared" si="1"/>
        <v>-0.46686018384131589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>X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s="25">
        <f t="shared" si="3"/>
        <v>5839</v>
      </c>
    </row>
    <row r="17" spans="1:22" x14ac:dyDescent="0.2">
      <c r="A17" s="42">
        <v>2832</v>
      </c>
      <c r="B17" s="77" t="s">
        <v>8</v>
      </c>
      <c r="C17" s="10">
        <v>929</v>
      </c>
      <c r="D17" s="5">
        <v>874</v>
      </c>
      <c r="E17" s="5">
        <v>55</v>
      </c>
      <c r="F17" s="10">
        <v>500</v>
      </c>
      <c r="G17" s="5">
        <v>993</v>
      </c>
      <c r="H17" s="5">
        <v>-493</v>
      </c>
      <c r="I17" s="10">
        <v>1421</v>
      </c>
      <c r="J17" s="5">
        <v>963</v>
      </c>
      <c r="K17" s="5">
        <v>458</v>
      </c>
      <c r="L17" s="10">
        <v>500</v>
      </c>
      <c r="M17" s="5">
        <v>900</v>
      </c>
      <c r="N17" s="5">
        <v>-400</v>
      </c>
      <c r="O17" s="10">
        <f t="shared" si="0"/>
        <v>20</v>
      </c>
      <c r="P17" s="97">
        <f t="shared" si="1"/>
        <v>7.0646414694454252E-3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s="25" t="str">
        <f t="shared" si="3"/>
        <v xml:space="preserve"> </v>
      </c>
    </row>
    <row r="18" spans="1:22" x14ac:dyDescent="0.2">
      <c r="A18" s="42">
        <v>2892</v>
      </c>
      <c r="B18" s="77" t="s">
        <v>8</v>
      </c>
      <c r="C18" s="10">
        <v>4252</v>
      </c>
      <c r="D18" s="5">
        <v>4217</v>
      </c>
      <c r="E18" s="5">
        <v>35</v>
      </c>
      <c r="F18" s="10">
        <v>4825</v>
      </c>
      <c r="G18" s="5">
        <v>4932</v>
      </c>
      <c r="H18" s="5">
        <v>-107</v>
      </c>
      <c r="I18" s="10">
        <v>4747</v>
      </c>
      <c r="J18" s="5">
        <v>4779</v>
      </c>
      <c r="K18" s="5">
        <v>-32</v>
      </c>
      <c r="L18" s="10">
        <v>4827</v>
      </c>
      <c r="M18" s="5">
        <v>4466</v>
      </c>
      <c r="N18" s="5">
        <v>361</v>
      </c>
      <c r="O18" s="10">
        <f t="shared" si="0"/>
        <v>-104</v>
      </c>
      <c r="P18" s="97">
        <f t="shared" si="1"/>
        <v>-7.466436930145739E-3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s="25" t="str">
        <f t="shared" si="3"/>
        <v xml:space="preserve"> </v>
      </c>
    </row>
    <row r="19" spans="1:22" x14ac:dyDescent="0.2">
      <c r="A19" s="42">
        <v>2939</v>
      </c>
      <c r="B19" s="77" t="s">
        <v>8</v>
      </c>
      <c r="C19" s="10">
        <v>1560</v>
      </c>
      <c r="D19" s="5">
        <v>1055</v>
      </c>
      <c r="E19" s="5">
        <v>505</v>
      </c>
      <c r="F19" s="10">
        <v>1002</v>
      </c>
      <c r="G19" s="5">
        <v>248</v>
      </c>
      <c r="H19" s="5">
        <v>754</v>
      </c>
      <c r="I19" s="10">
        <v>1002</v>
      </c>
      <c r="J19" s="5">
        <v>241</v>
      </c>
      <c r="K19" s="5">
        <v>761</v>
      </c>
      <c r="L19" s="10">
        <v>652</v>
      </c>
      <c r="M19" s="5">
        <v>225</v>
      </c>
      <c r="N19" s="5">
        <v>427</v>
      </c>
      <c r="O19" s="10">
        <f t="shared" si="0"/>
        <v>2020</v>
      </c>
      <c r="P19" s="97">
        <f t="shared" si="1"/>
        <v>1.3074433656957929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>X</v>
      </c>
      <c r="V19" s="25" t="str">
        <f t="shared" si="3"/>
        <v xml:space="preserve"> </v>
      </c>
    </row>
    <row r="20" spans="1:22" x14ac:dyDescent="0.2">
      <c r="A20" s="42">
        <v>3152</v>
      </c>
      <c r="B20" s="77" t="s">
        <v>8</v>
      </c>
      <c r="C20" s="10">
        <v>5444</v>
      </c>
      <c r="D20" s="5">
        <v>5759</v>
      </c>
      <c r="E20" s="5">
        <v>-315</v>
      </c>
      <c r="F20" s="10">
        <v>4917</v>
      </c>
      <c r="G20" s="5">
        <v>4731</v>
      </c>
      <c r="H20" s="5">
        <v>186</v>
      </c>
      <c r="I20" s="10">
        <v>4917</v>
      </c>
      <c r="J20" s="5">
        <v>4527</v>
      </c>
      <c r="K20" s="5">
        <v>390</v>
      </c>
      <c r="L20" s="10">
        <v>4200</v>
      </c>
      <c r="M20" s="5">
        <v>4245</v>
      </c>
      <c r="N20" s="5">
        <v>-45</v>
      </c>
      <c r="O20" s="10">
        <f t="shared" si="0"/>
        <v>261</v>
      </c>
      <c r="P20" s="97">
        <f t="shared" si="1"/>
        <v>1.7379145025968837E-2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s="25" t="str">
        <f t="shared" si="3"/>
        <v xml:space="preserve"> </v>
      </c>
    </row>
    <row r="21" spans="1:22" x14ac:dyDescent="0.2">
      <c r="A21" s="42">
        <v>4303</v>
      </c>
      <c r="B21" s="77" t="s">
        <v>8</v>
      </c>
      <c r="C21" s="10">
        <v>2701</v>
      </c>
      <c r="D21" s="5">
        <v>2355</v>
      </c>
      <c r="E21" s="5">
        <v>346</v>
      </c>
      <c r="F21" s="10">
        <v>1685</v>
      </c>
      <c r="G21" s="5">
        <v>2569</v>
      </c>
      <c r="H21" s="5">
        <v>-884</v>
      </c>
      <c r="I21" s="10">
        <v>2108</v>
      </c>
      <c r="J21" s="5">
        <v>2493</v>
      </c>
      <c r="K21" s="5">
        <v>-385</v>
      </c>
      <c r="L21" s="10">
        <v>2181</v>
      </c>
      <c r="M21" s="5">
        <v>2329</v>
      </c>
      <c r="N21" s="5">
        <v>-148</v>
      </c>
      <c r="O21" s="10">
        <f t="shared" si="0"/>
        <v>-923</v>
      </c>
      <c r="P21" s="97">
        <f t="shared" si="1"/>
        <v>-0.12442706929091399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s="25" t="str">
        <f t="shared" si="3"/>
        <v xml:space="preserve"> </v>
      </c>
    </row>
    <row r="22" spans="1:22" x14ac:dyDescent="0.2">
      <c r="A22" s="42">
        <v>6500</v>
      </c>
      <c r="B22" s="77" t="s">
        <v>8</v>
      </c>
      <c r="C22" s="10">
        <v>509977</v>
      </c>
      <c r="D22" s="5">
        <v>482026</v>
      </c>
      <c r="E22" s="5">
        <v>27951</v>
      </c>
      <c r="F22" s="10">
        <v>492278</v>
      </c>
      <c r="G22" s="5">
        <v>490244</v>
      </c>
      <c r="H22" s="5">
        <v>2034</v>
      </c>
      <c r="I22" s="10">
        <v>442402</v>
      </c>
      <c r="J22" s="5">
        <v>474388</v>
      </c>
      <c r="K22" s="5">
        <v>-31986</v>
      </c>
      <c r="L22" s="10">
        <v>481600</v>
      </c>
      <c r="M22" s="5">
        <v>443552</v>
      </c>
      <c r="N22" s="5">
        <v>38048</v>
      </c>
      <c r="O22" s="10">
        <f t="shared" si="0"/>
        <v>-2001</v>
      </c>
      <c r="P22" s="97">
        <f t="shared" si="1"/>
        <v>-1.3831870537562756E-3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>X</v>
      </c>
      <c r="T22" s="17" t="str">
        <f>IF($C$4="High Inventory",IF(AND($O22&gt;=Summary!$C$106,$P22&gt;=0%),"X"," "),IF(AND($O22&lt;=-Summary!$C$106,$P22&lt;=0%),"X"," "))</f>
        <v xml:space="preserve"> </v>
      </c>
      <c r="U22" s="21" t="str">
        <f>IF($C$4="High Inventory",IF(AND($O22&gt;=0,$P22&gt;=Summary!$C$107),"X"," "),IF(AND($O22&lt;=0,$P22&lt;=-Summary!$C$107),"X"," "))</f>
        <v xml:space="preserve"> </v>
      </c>
      <c r="V22" s="25">
        <f t="shared" si="3"/>
        <v>39198</v>
      </c>
    </row>
    <row r="23" spans="1:22" x14ac:dyDescent="0.2">
      <c r="A23" s="42">
        <v>10656</v>
      </c>
      <c r="B23" s="77" t="s">
        <v>8</v>
      </c>
      <c r="C23" s="10">
        <v>78</v>
      </c>
      <c r="D23" s="5">
        <v>194</v>
      </c>
      <c r="E23" s="5">
        <v>-116</v>
      </c>
      <c r="F23" s="10">
        <v>235</v>
      </c>
      <c r="G23" s="5">
        <v>211</v>
      </c>
      <c r="H23" s="5">
        <v>24</v>
      </c>
      <c r="I23" s="10">
        <v>235</v>
      </c>
      <c r="J23" s="5">
        <v>205</v>
      </c>
      <c r="K23" s="5">
        <v>30</v>
      </c>
      <c r="L23" s="10">
        <v>235</v>
      </c>
      <c r="M23" s="5">
        <v>190</v>
      </c>
      <c r="N23" s="5">
        <v>45</v>
      </c>
      <c r="O23" s="10">
        <f t="shared" si="0"/>
        <v>-62</v>
      </c>
      <c r="P23" s="97">
        <f t="shared" si="1"/>
        <v>-0.10147299509001637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s="25" t="str">
        <f t="shared" si="3"/>
        <v xml:space="preserve"> </v>
      </c>
    </row>
    <row r="24" spans="1:22" x14ac:dyDescent="0.2">
      <c r="A24" s="42">
        <v>12296</v>
      </c>
      <c r="B24" s="77" t="s">
        <v>8</v>
      </c>
      <c r="C24" s="10">
        <v>0</v>
      </c>
      <c r="D24" s="5">
        <v>2463</v>
      </c>
      <c r="E24" s="5">
        <v>-2463</v>
      </c>
      <c r="F24" s="10">
        <v>2600</v>
      </c>
      <c r="G24" s="5">
        <v>2712</v>
      </c>
      <c r="H24" s="5">
        <v>-112</v>
      </c>
      <c r="I24" s="10">
        <v>2600</v>
      </c>
      <c r="J24" s="5">
        <v>2632</v>
      </c>
      <c r="K24" s="5">
        <v>-32</v>
      </c>
      <c r="L24" s="10">
        <v>2600</v>
      </c>
      <c r="M24" s="5">
        <v>2458</v>
      </c>
      <c r="N24" s="5">
        <v>142</v>
      </c>
      <c r="O24" s="10">
        <f t="shared" si="0"/>
        <v>-2607</v>
      </c>
      <c r="P24" s="97">
        <f t="shared" si="1"/>
        <v>-0.33388831967213117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s="25" t="str">
        <f t="shared" si="3"/>
        <v xml:space="preserve"> </v>
      </c>
    </row>
    <row r="25" spans="1:22" x14ac:dyDescent="0.2">
      <c r="A25" s="42">
        <v>16786</v>
      </c>
      <c r="B25" s="77" t="s">
        <v>8</v>
      </c>
      <c r="C25" s="10">
        <v>2975</v>
      </c>
      <c r="D25" s="5">
        <v>3570</v>
      </c>
      <c r="E25" s="5">
        <v>-595</v>
      </c>
      <c r="F25" s="10">
        <v>3462</v>
      </c>
      <c r="G25" s="5">
        <v>3841</v>
      </c>
      <c r="H25" s="5">
        <v>-379</v>
      </c>
      <c r="I25" s="10">
        <v>2808</v>
      </c>
      <c r="J25" s="5">
        <v>3720</v>
      </c>
      <c r="K25" s="5">
        <v>-912</v>
      </c>
      <c r="L25" s="10">
        <v>3175</v>
      </c>
      <c r="M25" s="5">
        <v>3477</v>
      </c>
      <c r="N25" s="5">
        <v>-302</v>
      </c>
      <c r="O25" s="10">
        <f t="shared" si="0"/>
        <v>-1886</v>
      </c>
      <c r="P25" s="97">
        <f t="shared" si="1"/>
        <v>-0.16942148760330578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s="25" t="str">
        <f t="shared" si="3"/>
        <v xml:space="preserve"> </v>
      </c>
    </row>
    <row r="26" spans="1:22" x14ac:dyDescent="0.2">
      <c r="A26" s="42">
        <v>17791</v>
      </c>
      <c r="B26" s="77" t="s">
        <v>8</v>
      </c>
      <c r="C26" s="10">
        <v>0</v>
      </c>
      <c r="D26" s="5">
        <v>236</v>
      </c>
      <c r="E26" s="5">
        <v>-236</v>
      </c>
      <c r="F26" s="10">
        <v>150</v>
      </c>
      <c r="G26" s="5">
        <v>238</v>
      </c>
      <c r="H26" s="5">
        <v>-88</v>
      </c>
      <c r="I26" s="10">
        <v>150</v>
      </c>
      <c r="J26" s="5">
        <v>231</v>
      </c>
      <c r="K26" s="5">
        <v>-81</v>
      </c>
      <c r="L26" s="10">
        <v>200</v>
      </c>
      <c r="M26" s="5">
        <v>215</v>
      </c>
      <c r="N26" s="5">
        <v>-15</v>
      </c>
      <c r="O26" s="10">
        <f t="shared" si="0"/>
        <v>-405</v>
      </c>
      <c r="P26" s="97">
        <f t="shared" si="1"/>
        <v>-0.57365439093484416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s="25" t="str">
        <f t="shared" si="3"/>
        <v xml:space="preserve"> </v>
      </c>
    </row>
    <row r="27" spans="1:22" hidden="1" x14ac:dyDescent="0.2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s="25" t="str">
        <f t="shared" si="3"/>
        <v xml:space="preserve"> </v>
      </c>
    </row>
    <row r="28" spans="1:22" hidden="1" x14ac:dyDescent="0.2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s="25" t="str">
        <f t="shared" si="3"/>
        <v xml:space="preserve"> </v>
      </c>
    </row>
    <row r="29" spans="1:22" hidden="1" x14ac:dyDescent="0.2">
      <c r="A29" s="42"/>
      <c r="B29" s="77"/>
      <c r="C29" s="15">
        <v>36677</v>
      </c>
      <c r="D29" s="5"/>
      <c r="E29" s="5"/>
      <c r="F29" s="15">
        <v>36678</v>
      </c>
      <c r="G29" s="5"/>
      <c r="H29" s="5"/>
      <c r="I29" s="15">
        <v>36679</v>
      </c>
      <c r="J29" s="5"/>
      <c r="K29" s="5"/>
      <c r="L29" s="15">
        <v>36680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s="25" t="str">
        <f t="shared" si="3"/>
        <v xml:space="preserve"> </v>
      </c>
    </row>
    <row r="30" spans="1:22" hidden="1" x14ac:dyDescent="0.2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s="25" t="e">
        <f t="shared" si="3"/>
        <v>#VALUE!</v>
      </c>
    </row>
    <row r="31" spans="1:22" x14ac:dyDescent="0.2">
      <c r="A31" s="42">
        <v>1117</v>
      </c>
      <c r="B31" s="77" t="s">
        <v>15</v>
      </c>
      <c r="C31" s="10">
        <v>104664</v>
      </c>
      <c r="D31" s="5">
        <v>75012</v>
      </c>
      <c r="E31" s="5">
        <v>29652</v>
      </c>
      <c r="F31" s="10">
        <v>96409</v>
      </c>
      <c r="G31" s="5">
        <v>74767</v>
      </c>
      <c r="H31" s="5">
        <v>21642</v>
      </c>
      <c r="I31" s="10">
        <v>68688</v>
      </c>
      <c r="J31" s="5">
        <v>71633</v>
      </c>
      <c r="K31" s="5">
        <v>-2945</v>
      </c>
      <c r="L31" s="10">
        <v>99427</v>
      </c>
      <c r="M31" s="5">
        <v>56327</v>
      </c>
      <c r="N31" s="5">
        <v>43100</v>
      </c>
      <c r="O31" s="10">
        <f t="shared" si="0"/>
        <v>48349</v>
      </c>
      <c r="P31" s="97">
        <f t="shared" si="1"/>
        <v>0.21836567861868997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>X</v>
      </c>
      <c r="S31" s="21" t="str">
        <f>IF(AND(L31-I31&gt;=Summary!$C$110,N31-K31&gt;Summary!$C$110,N31&gt;0),"X"," ")</f>
        <v>X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>X</v>
      </c>
      <c r="V31" s="25">
        <f t="shared" si="3"/>
        <v>30739</v>
      </c>
    </row>
    <row r="32" spans="1:22" x14ac:dyDescent="0.2">
      <c r="A32" s="42">
        <v>1126</v>
      </c>
      <c r="B32" s="77" t="s">
        <v>15</v>
      </c>
      <c r="C32" s="10">
        <v>34918</v>
      </c>
      <c r="D32" s="5">
        <v>29830</v>
      </c>
      <c r="E32" s="5">
        <v>5088</v>
      </c>
      <c r="F32" s="10">
        <v>26557</v>
      </c>
      <c r="G32" s="5">
        <v>29309</v>
      </c>
      <c r="H32" s="5">
        <v>-2752</v>
      </c>
      <c r="I32" s="10">
        <v>27918</v>
      </c>
      <c r="J32" s="5">
        <v>28592</v>
      </c>
      <c r="K32" s="5">
        <v>-674</v>
      </c>
      <c r="L32" s="10">
        <v>27918</v>
      </c>
      <c r="M32" s="5">
        <v>25300</v>
      </c>
      <c r="N32" s="5">
        <v>2618</v>
      </c>
      <c r="O32" s="10">
        <f t="shared" ref="O32:O57" si="4">K32+H32+E32</f>
        <v>1662</v>
      </c>
      <c r="P32" s="97">
        <f t="shared" ref="P32:P57" si="5">O32/(J32+G32+D32+1)</f>
        <v>1.89440569005608E-2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 xml:space="preserve"> 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 xml:space="preserve"> </v>
      </c>
      <c r="U32" s="21" t="str">
        <f>IF($C$4="High Inventory",IF(AND($O32&gt;=0,$P32&gt;=Summary!$C$107),"X"," "),IF(AND($O32&lt;=0,$P32&lt;=-Summary!$C$107),"X"," "))</f>
        <v xml:space="preserve"> </v>
      </c>
      <c r="V32" s="25" t="str">
        <f t="shared" si="3"/>
        <v xml:space="preserve"> </v>
      </c>
    </row>
    <row r="33" spans="1:22" x14ac:dyDescent="0.2">
      <c r="A33" s="42">
        <v>1157</v>
      </c>
      <c r="B33" s="77" t="s">
        <v>15</v>
      </c>
      <c r="C33" s="10">
        <v>56190</v>
      </c>
      <c r="D33" s="5">
        <v>66380</v>
      </c>
      <c r="E33" s="5">
        <v>-10190</v>
      </c>
      <c r="F33" s="10">
        <v>123260</v>
      </c>
      <c r="G33" s="5">
        <v>101570</v>
      </c>
      <c r="H33" s="5">
        <v>21690</v>
      </c>
      <c r="I33" s="10">
        <v>97255</v>
      </c>
      <c r="J33" s="5">
        <v>104513</v>
      </c>
      <c r="K33" s="5">
        <v>-7258</v>
      </c>
      <c r="L33" s="10">
        <v>99714</v>
      </c>
      <c r="M33" s="5">
        <v>76918</v>
      </c>
      <c r="N33" s="5">
        <v>22796</v>
      </c>
      <c r="O33" s="10">
        <f t="shared" si="4"/>
        <v>4242</v>
      </c>
      <c r="P33" s="97">
        <f t="shared" si="1"/>
        <v>1.5569029302953785E-2</v>
      </c>
      <c r="Q33" s="17" t="s">
        <v>44</v>
      </c>
      <c r="R33" s="91" t="str">
        <f>IF($C$4="High Inventory",IF(AND(O33&gt;=Summary!$C$106,P33&gt;=Summary!$C$107),"X"," "),IF(AND(O33&lt;=-Summary!$C$106,P33&lt;=-Summary!$C$107),"X"," "))</f>
        <v xml:space="preserve"> 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 xml:space="preserve"> </v>
      </c>
      <c r="U33" s="21" t="str">
        <f>IF($C$4="High Inventory",IF(AND($O33&gt;=0,$P33&gt;=Summary!$C$107),"X"," "),IF(AND($O33&lt;=0,$P33&lt;=-Summary!$C$107),"X"," "))</f>
        <v xml:space="preserve"> </v>
      </c>
      <c r="V33" s="25" t="str">
        <f t="shared" si="3"/>
        <v xml:space="preserve"> </v>
      </c>
    </row>
    <row r="34" spans="1:22" x14ac:dyDescent="0.2">
      <c r="A34" s="42">
        <v>1281</v>
      </c>
      <c r="B34" s="77" t="s">
        <v>15</v>
      </c>
      <c r="C34" s="10">
        <v>3007</v>
      </c>
      <c r="D34" s="5">
        <v>19316</v>
      </c>
      <c r="E34" s="5">
        <v>-16309</v>
      </c>
      <c r="F34" s="10">
        <v>29027</v>
      </c>
      <c r="G34" s="5">
        <v>20531</v>
      </c>
      <c r="H34" s="5">
        <v>8496</v>
      </c>
      <c r="I34" s="10">
        <v>9691</v>
      </c>
      <c r="J34" s="5">
        <v>21598</v>
      </c>
      <c r="K34" s="5">
        <v>-11907</v>
      </c>
      <c r="L34" s="10">
        <v>75151</v>
      </c>
      <c r="M34" s="5">
        <v>10536</v>
      </c>
      <c r="N34" s="5">
        <v>64615</v>
      </c>
      <c r="O34" s="10">
        <f t="shared" si="0"/>
        <v>-19720</v>
      </c>
      <c r="P34" s="97">
        <f t="shared" si="1"/>
        <v>-0.32093220063144873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>X</v>
      </c>
      <c r="T34" s="17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 s="25">
        <f t="shared" si="3"/>
        <v>65460</v>
      </c>
    </row>
    <row r="35" spans="1:22" x14ac:dyDescent="0.2">
      <c r="A35" s="42">
        <v>1340</v>
      </c>
      <c r="B35" s="77" t="s">
        <v>15</v>
      </c>
      <c r="C35" s="10">
        <v>1317</v>
      </c>
      <c r="D35" s="5">
        <v>6306</v>
      </c>
      <c r="E35" s="5">
        <v>-4989</v>
      </c>
      <c r="F35" s="10">
        <v>6818</v>
      </c>
      <c r="G35" s="5">
        <v>5747</v>
      </c>
      <c r="H35" s="5">
        <v>1071</v>
      </c>
      <c r="I35" s="10">
        <v>5854</v>
      </c>
      <c r="J35" s="5">
        <v>5965</v>
      </c>
      <c r="K35" s="5">
        <v>-111</v>
      </c>
      <c r="L35" s="10">
        <v>6818</v>
      </c>
      <c r="M35" s="5">
        <v>5012</v>
      </c>
      <c r="N35" s="5">
        <v>1806</v>
      </c>
      <c r="O35" s="10">
        <f t="shared" si="0"/>
        <v>-4029</v>
      </c>
      <c r="P35" s="97">
        <f t="shared" si="1"/>
        <v>-0.22359731394638993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s="25" t="str">
        <f t="shared" si="3"/>
        <v xml:space="preserve"> </v>
      </c>
    </row>
    <row r="36" spans="1:22" x14ac:dyDescent="0.2">
      <c r="A36" s="42">
        <v>1377</v>
      </c>
      <c r="B36" s="77" t="s">
        <v>15</v>
      </c>
      <c r="C36" s="10">
        <v>134395</v>
      </c>
      <c r="D36" s="5">
        <v>77055</v>
      </c>
      <c r="E36" s="5">
        <v>57340</v>
      </c>
      <c r="F36" s="10">
        <v>105757</v>
      </c>
      <c r="G36" s="5">
        <v>85939</v>
      </c>
      <c r="H36" s="5">
        <v>19818</v>
      </c>
      <c r="I36" s="10">
        <v>66689</v>
      </c>
      <c r="J36" s="5">
        <v>91207</v>
      </c>
      <c r="K36" s="5">
        <v>-24518</v>
      </c>
      <c r="L36" s="10">
        <v>79633</v>
      </c>
      <c r="M36" s="5">
        <v>89912</v>
      </c>
      <c r="N36" s="5">
        <v>-10279</v>
      </c>
      <c r="O36" s="10">
        <f t="shared" si="4"/>
        <v>52640</v>
      </c>
      <c r="P36" s="97">
        <f t="shared" si="5"/>
        <v>0.20707940928867594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>X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>X</v>
      </c>
      <c r="U36" s="21" t="str">
        <f>IF($C$4="High Inventory",IF(AND($O36&gt;=0,$P36&gt;=Summary!$C$107),"X"," "),IF(AND($O36&lt;=0,$P36&lt;=-Summary!$C$107),"X"," "))</f>
        <v>X</v>
      </c>
      <c r="V36" s="25" t="str">
        <f t="shared" si="3"/>
        <v xml:space="preserve"> </v>
      </c>
    </row>
    <row r="37" spans="1:22" x14ac:dyDescent="0.2">
      <c r="A37" s="42">
        <v>1830</v>
      </c>
      <c r="B37" s="77" t="s">
        <v>15</v>
      </c>
      <c r="C37" s="10">
        <v>1226</v>
      </c>
      <c r="D37" s="5">
        <v>1</v>
      </c>
      <c r="E37" s="5">
        <v>1225</v>
      </c>
      <c r="F37" s="10">
        <v>0</v>
      </c>
      <c r="G37" s="5">
        <v>2</v>
      </c>
      <c r="H37" s="5">
        <v>-2</v>
      </c>
      <c r="I37" s="10">
        <v>0</v>
      </c>
      <c r="J37" s="5">
        <v>1</v>
      </c>
      <c r="K37" s="5">
        <v>-1</v>
      </c>
      <c r="L37" s="10">
        <v>0</v>
      </c>
      <c r="M37" s="5">
        <v>1</v>
      </c>
      <c r="N37" s="5">
        <v>-1</v>
      </c>
      <c r="O37" s="10">
        <f t="shared" si="4"/>
        <v>1222</v>
      </c>
      <c r="P37" s="97">
        <f t="shared" si="5"/>
        <v>244.4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>X</v>
      </c>
      <c r="V37" s="25" t="str">
        <f t="shared" si="3"/>
        <v xml:space="preserve"> </v>
      </c>
    </row>
    <row r="38" spans="1:22" x14ac:dyDescent="0.2">
      <c r="A38" s="42">
        <v>1864</v>
      </c>
      <c r="B38" s="77" t="s">
        <v>15</v>
      </c>
      <c r="C38" s="10">
        <v>480158</v>
      </c>
      <c r="D38" s="5">
        <v>447537</v>
      </c>
      <c r="E38" s="5">
        <v>32621</v>
      </c>
      <c r="F38" s="10">
        <v>438713</v>
      </c>
      <c r="G38" s="5">
        <v>447517</v>
      </c>
      <c r="H38" s="5">
        <v>-8804</v>
      </c>
      <c r="I38" s="10">
        <v>507662</v>
      </c>
      <c r="J38" s="5">
        <v>427018</v>
      </c>
      <c r="K38" s="5">
        <v>80644</v>
      </c>
      <c r="L38" s="10">
        <v>417472</v>
      </c>
      <c r="M38" s="5">
        <v>400034</v>
      </c>
      <c r="N38" s="5">
        <v>17438</v>
      </c>
      <c r="O38" s="10">
        <f t="shared" si="0"/>
        <v>104461</v>
      </c>
      <c r="P38" s="97">
        <f t="shared" si="1"/>
        <v>7.9013034832418477E-2</v>
      </c>
      <c r="Q38" s="17" t="s">
        <v>44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 xml:space="preserve"> </v>
      </c>
      <c r="V38" s="25" t="str">
        <f t="shared" si="3"/>
        <v xml:space="preserve"> </v>
      </c>
    </row>
    <row r="39" spans="1:22" x14ac:dyDescent="0.2">
      <c r="A39" s="42">
        <v>1922</v>
      </c>
      <c r="B39" s="77" t="s">
        <v>15</v>
      </c>
      <c r="C39" s="10">
        <v>73740</v>
      </c>
      <c r="D39" s="5">
        <v>48425</v>
      </c>
      <c r="E39" s="5">
        <v>25315</v>
      </c>
      <c r="F39" s="10">
        <v>55572</v>
      </c>
      <c r="G39" s="5">
        <v>55823</v>
      </c>
      <c r="H39" s="5">
        <v>-251</v>
      </c>
      <c r="I39" s="10">
        <v>21161</v>
      </c>
      <c r="J39" s="5">
        <v>54664</v>
      </c>
      <c r="K39" s="5">
        <v>-33503</v>
      </c>
      <c r="L39" s="10">
        <v>50922</v>
      </c>
      <c r="M39" s="5">
        <v>45662</v>
      </c>
      <c r="N39" s="5">
        <v>5260</v>
      </c>
      <c r="O39" s="10">
        <f t="shared" si="0"/>
        <v>-8439</v>
      </c>
      <c r="P39" s="97">
        <f t="shared" si="1"/>
        <v>-5.3104528893167961E-2</v>
      </c>
      <c r="Q39" s="101" t="str">
        <f>" "</f>
        <v xml:space="preserve"> </v>
      </c>
      <c r="R39" s="91" t="str">
        <f>IF($C$4="High Inventory",IF(AND(O39&gt;=Summary!$C$106,P39&gt;=Summary!$C$107),"X"," "),IF(AND(O39&lt;=-Summary!$C$106,P39&lt;=-Summary!$C$107),"X"," "))</f>
        <v xml:space="preserve"> </v>
      </c>
      <c r="S39" s="21" t="str">
        <f>IF(AND(L39-I39&gt;=Summary!$C$110,N39-K39&gt;Summary!$C$110,N39&gt;0),"X"," ")</f>
        <v>X</v>
      </c>
      <c r="T39" s="17" t="str">
        <f>IF($C$4="High Inventory",IF(AND($O39&gt;=Summary!$C$106,$P39&gt;=0%),"X"," "),IF(AND($O39&lt;=-Summary!$C$106,$P39&lt;=0%),"X"," "))</f>
        <v xml:space="preserve"> </v>
      </c>
      <c r="U39" s="21" t="str">
        <f>IF($C$4="High Inventory",IF(AND($O39&gt;=0,$P39&gt;=Summary!$C$107),"X"," "),IF(AND($O39&lt;=0,$P39&lt;=-Summary!$C$107),"X"," "))</f>
        <v xml:space="preserve"> </v>
      </c>
      <c r="V39" s="25">
        <f t="shared" si="3"/>
        <v>29761</v>
      </c>
    </row>
    <row r="40" spans="1:22" x14ac:dyDescent="0.2">
      <c r="A40" s="42">
        <v>1928</v>
      </c>
      <c r="B40" s="77" t="s">
        <v>15</v>
      </c>
      <c r="C40" s="10">
        <v>16081</v>
      </c>
      <c r="D40" s="5">
        <v>14212</v>
      </c>
      <c r="E40" s="5">
        <v>1869</v>
      </c>
      <c r="F40" s="10">
        <v>15906</v>
      </c>
      <c r="G40" s="5">
        <v>13413</v>
      </c>
      <c r="H40" s="5">
        <v>2493</v>
      </c>
      <c r="I40" s="10">
        <v>15635</v>
      </c>
      <c r="J40" s="5">
        <v>17830</v>
      </c>
      <c r="K40" s="5">
        <v>-2195</v>
      </c>
      <c r="L40" s="10">
        <v>16102</v>
      </c>
      <c r="M40" s="5">
        <v>14807</v>
      </c>
      <c r="N40" s="5">
        <v>1295</v>
      </c>
      <c r="O40" s="10">
        <f t="shared" si="0"/>
        <v>2167</v>
      </c>
      <c r="P40" s="97">
        <f t="shared" si="1"/>
        <v>4.7672474480816615E-2</v>
      </c>
      <c r="Q40" s="101" t="str">
        <f>" "</f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s="25" t="str">
        <f t="shared" si="3"/>
        <v xml:space="preserve"> </v>
      </c>
    </row>
    <row r="41" spans="1:22" x14ac:dyDescent="0.2">
      <c r="A41" s="42">
        <v>2056</v>
      </c>
      <c r="B41" s="77" t="s">
        <v>15</v>
      </c>
      <c r="C41" s="10">
        <v>65517</v>
      </c>
      <c r="D41" s="5">
        <v>65678</v>
      </c>
      <c r="E41" s="5">
        <v>-161</v>
      </c>
      <c r="F41" s="10">
        <v>59423</v>
      </c>
      <c r="G41" s="5">
        <v>61625</v>
      </c>
      <c r="H41" s="5">
        <v>-2202</v>
      </c>
      <c r="I41" s="10">
        <v>59968</v>
      </c>
      <c r="J41" s="5">
        <v>65972</v>
      </c>
      <c r="K41" s="5">
        <v>-6004</v>
      </c>
      <c r="L41" s="10">
        <v>61969</v>
      </c>
      <c r="M41" s="5">
        <v>62786</v>
      </c>
      <c r="N41" s="5">
        <v>-817</v>
      </c>
      <c r="O41" s="10">
        <f t="shared" si="4"/>
        <v>-8367</v>
      </c>
      <c r="P41" s="97">
        <f t="shared" si="5"/>
        <v>-4.3290424056789255E-2</v>
      </c>
      <c r="Q41" s="101" t="str">
        <f>" "</f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 s="25" t="str">
        <f t="shared" si="3"/>
        <v xml:space="preserve"> </v>
      </c>
    </row>
    <row r="42" spans="1:22" x14ac:dyDescent="0.2">
      <c r="A42" s="42">
        <v>2280</v>
      </c>
      <c r="B42" s="77" t="s">
        <v>15</v>
      </c>
      <c r="C42" s="10">
        <v>8796</v>
      </c>
      <c r="D42" s="5">
        <v>10390</v>
      </c>
      <c r="E42" s="5">
        <v>-1594</v>
      </c>
      <c r="F42" s="10">
        <v>7900</v>
      </c>
      <c r="G42" s="5">
        <v>10839</v>
      </c>
      <c r="H42" s="5">
        <v>-2939</v>
      </c>
      <c r="I42" s="10">
        <v>7900</v>
      </c>
      <c r="J42" s="5">
        <v>10233</v>
      </c>
      <c r="K42" s="5">
        <v>-2333</v>
      </c>
      <c r="L42" s="10">
        <v>7900</v>
      </c>
      <c r="M42" s="5">
        <v>5701</v>
      </c>
      <c r="N42" s="5">
        <v>2199</v>
      </c>
      <c r="O42" s="10">
        <f t="shared" si="4"/>
        <v>-6866</v>
      </c>
      <c r="P42" s="97">
        <f t="shared" si="5"/>
        <v>-0.21822458125417157</v>
      </c>
      <c r="Q42" s="101" t="str">
        <f>" "</f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s="25" t="str">
        <f t="shared" si="3"/>
        <v xml:space="preserve"> </v>
      </c>
    </row>
    <row r="43" spans="1:22" x14ac:dyDescent="0.2">
      <c r="A43" s="42">
        <v>2584</v>
      </c>
      <c r="B43" s="77" t="s">
        <v>15</v>
      </c>
      <c r="C43" s="10">
        <v>57371</v>
      </c>
      <c r="D43" s="5">
        <v>60895</v>
      </c>
      <c r="E43" s="5">
        <v>-3524</v>
      </c>
      <c r="F43" s="10">
        <v>43047</v>
      </c>
      <c r="G43" s="5">
        <v>61990</v>
      </c>
      <c r="H43" s="5">
        <v>-18943</v>
      </c>
      <c r="I43" s="10">
        <v>46600</v>
      </c>
      <c r="J43" s="5">
        <v>64817</v>
      </c>
      <c r="K43" s="5">
        <v>-18217</v>
      </c>
      <c r="L43" s="10">
        <v>45858</v>
      </c>
      <c r="M43" s="5">
        <v>52656</v>
      </c>
      <c r="N43" s="5">
        <v>-6798</v>
      </c>
      <c r="O43" s="10">
        <f t="shared" si="4"/>
        <v>-40684</v>
      </c>
      <c r="P43" s="97">
        <f t="shared" si="5"/>
        <v>-0.21674666893976122</v>
      </c>
      <c r="Q43" s="101" t="str">
        <f>" "</f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s="25" t="str">
        <f t="shared" si="3"/>
        <v xml:space="preserve"> </v>
      </c>
    </row>
    <row r="44" spans="1:22" x14ac:dyDescent="0.2">
      <c r="A44" s="42">
        <v>2771</v>
      </c>
      <c r="B44" s="77" t="s">
        <v>15</v>
      </c>
      <c r="C44" s="10">
        <v>58275</v>
      </c>
      <c r="D44" s="5">
        <v>28344</v>
      </c>
      <c r="E44" s="5">
        <v>29931</v>
      </c>
      <c r="F44" s="10">
        <v>36653</v>
      </c>
      <c r="G44" s="5">
        <v>34508</v>
      </c>
      <c r="H44" s="5">
        <v>2145</v>
      </c>
      <c r="I44" s="10">
        <v>42049</v>
      </c>
      <c r="J44" s="5">
        <v>33887</v>
      </c>
      <c r="K44" s="5">
        <v>8162</v>
      </c>
      <c r="L44" s="10">
        <v>21475</v>
      </c>
      <c r="M44" s="5">
        <v>21383</v>
      </c>
      <c r="N44" s="5">
        <v>92</v>
      </c>
      <c r="O44" s="10">
        <f t="shared" si="0"/>
        <v>40238</v>
      </c>
      <c r="P44" s="97">
        <f t="shared" si="1"/>
        <v>0.41593963200330786</v>
      </c>
      <c r="Q44" s="17" t="s">
        <v>44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s="25" t="str">
        <f t="shared" si="3"/>
        <v xml:space="preserve"> </v>
      </c>
    </row>
    <row r="45" spans="1:22" x14ac:dyDescent="0.2">
      <c r="A45" s="42">
        <v>2832</v>
      </c>
      <c r="B45" s="77" t="s">
        <v>15</v>
      </c>
      <c r="C45" s="10">
        <v>5200</v>
      </c>
      <c r="D45" s="5">
        <v>5504</v>
      </c>
      <c r="E45" s="5">
        <v>-304</v>
      </c>
      <c r="F45" s="10">
        <v>5893</v>
      </c>
      <c r="G45" s="5">
        <v>3550</v>
      </c>
      <c r="H45" s="5">
        <v>2343</v>
      </c>
      <c r="I45" s="10">
        <v>5896</v>
      </c>
      <c r="J45" s="5">
        <v>3420</v>
      </c>
      <c r="K45" s="5">
        <v>2476</v>
      </c>
      <c r="L45" s="10">
        <v>7123</v>
      </c>
      <c r="M45" s="5">
        <v>2840</v>
      </c>
      <c r="N45" s="5">
        <v>4283</v>
      </c>
      <c r="O45" s="10">
        <f t="shared" si="4"/>
        <v>4515</v>
      </c>
      <c r="P45" s="97">
        <f t="shared" si="5"/>
        <v>0.36192384769539077</v>
      </c>
      <c r="Q45" s="101" t="str">
        <f>" "</f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>X</v>
      </c>
      <c r="V45" s="25" t="str">
        <f t="shared" si="3"/>
        <v xml:space="preserve"> </v>
      </c>
    </row>
    <row r="46" spans="1:22" x14ac:dyDescent="0.2">
      <c r="A46" s="42">
        <v>2892</v>
      </c>
      <c r="B46" s="77" t="s">
        <v>15</v>
      </c>
      <c r="C46" s="10">
        <v>170</v>
      </c>
      <c r="D46" s="5">
        <v>191</v>
      </c>
      <c r="E46" s="5">
        <v>-21</v>
      </c>
      <c r="F46" s="10">
        <v>170</v>
      </c>
      <c r="G46" s="5">
        <v>189</v>
      </c>
      <c r="H46" s="5">
        <v>-19</v>
      </c>
      <c r="I46" s="10">
        <v>167</v>
      </c>
      <c r="J46" s="5">
        <v>212</v>
      </c>
      <c r="K46" s="5">
        <v>-45</v>
      </c>
      <c r="L46" s="10">
        <v>170</v>
      </c>
      <c r="M46" s="5">
        <v>216</v>
      </c>
      <c r="N46" s="5">
        <v>-46</v>
      </c>
      <c r="O46" s="10">
        <f t="shared" si="4"/>
        <v>-85</v>
      </c>
      <c r="P46" s="97">
        <f t="shared" si="5"/>
        <v>-0.14333895446880271</v>
      </c>
      <c r="Q46" s="101" t="str">
        <f>" "</f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s="25" t="str">
        <f t="shared" si="3"/>
        <v xml:space="preserve"> </v>
      </c>
    </row>
    <row r="47" spans="1:22" x14ac:dyDescent="0.2">
      <c r="A47" s="42">
        <v>3015</v>
      </c>
      <c r="B47" s="77" t="s">
        <v>15</v>
      </c>
      <c r="C47" s="10">
        <v>18893</v>
      </c>
      <c r="D47" s="5">
        <v>21118</v>
      </c>
      <c r="E47" s="5">
        <v>-2225</v>
      </c>
      <c r="F47" s="10">
        <v>22561</v>
      </c>
      <c r="G47" s="5">
        <v>21060</v>
      </c>
      <c r="H47" s="5">
        <v>1501</v>
      </c>
      <c r="I47" s="10">
        <v>21586</v>
      </c>
      <c r="J47" s="5">
        <v>21298</v>
      </c>
      <c r="K47" s="5">
        <v>288</v>
      </c>
      <c r="L47" s="10">
        <v>23030</v>
      </c>
      <c r="M47" s="5">
        <v>19647</v>
      </c>
      <c r="N47" s="5">
        <v>3383</v>
      </c>
      <c r="O47" s="10">
        <f t="shared" si="4"/>
        <v>-436</v>
      </c>
      <c r="P47" s="97">
        <f t="shared" si="5"/>
        <v>-6.8686295823684167E-3</v>
      </c>
      <c r="Q47" s="101" t="str">
        <f>" "</f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s="25" t="str">
        <f t="shared" si="3"/>
        <v xml:space="preserve"> </v>
      </c>
    </row>
    <row r="48" spans="1:22" x14ac:dyDescent="0.2">
      <c r="A48" s="42">
        <v>4303</v>
      </c>
      <c r="B48" s="77" t="s">
        <v>15</v>
      </c>
      <c r="C48" s="10">
        <v>3127</v>
      </c>
      <c r="D48" s="5">
        <v>3731</v>
      </c>
      <c r="E48" s="5">
        <v>-604</v>
      </c>
      <c r="F48" s="10">
        <v>2827</v>
      </c>
      <c r="G48" s="5">
        <v>3533</v>
      </c>
      <c r="H48" s="5">
        <v>-706</v>
      </c>
      <c r="I48" s="10">
        <v>2827</v>
      </c>
      <c r="J48" s="5">
        <v>3243</v>
      </c>
      <c r="K48" s="5">
        <v>-416</v>
      </c>
      <c r="L48" s="10">
        <v>2754</v>
      </c>
      <c r="M48" s="5">
        <v>2502</v>
      </c>
      <c r="N48" s="5">
        <v>252</v>
      </c>
      <c r="O48" s="10">
        <f t="shared" si="4"/>
        <v>-1726</v>
      </c>
      <c r="P48" s="97">
        <f t="shared" si="5"/>
        <v>-0.16425580510087553</v>
      </c>
      <c r="Q48" s="101" t="str">
        <f>" "</f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s="25" t="str">
        <f t="shared" si="3"/>
        <v xml:space="preserve"> </v>
      </c>
    </row>
    <row r="49" spans="1:22" x14ac:dyDescent="0.2">
      <c r="A49" s="42">
        <v>4438</v>
      </c>
      <c r="B49" s="77" t="s">
        <v>15</v>
      </c>
      <c r="C49" s="10">
        <v>66424</v>
      </c>
      <c r="D49" s="5">
        <v>58489</v>
      </c>
      <c r="E49" s="5">
        <v>7935</v>
      </c>
      <c r="F49" s="10">
        <v>59904</v>
      </c>
      <c r="G49" s="5">
        <v>62046</v>
      </c>
      <c r="H49" s="5">
        <v>-2142</v>
      </c>
      <c r="I49" s="10">
        <v>59911</v>
      </c>
      <c r="J49" s="5">
        <v>61792</v>
      </c>
      <c r="K49" s="5">
        <v>-1881</v>
      </c>
      <c r="L49" s="10">
        <v>58289</v>
      </c>
      <c r="M49" s="5">
        <v>59860</v>
      </c>
      <c r="N49" s="5">
        <v>-1571</v>
      </c>
      <c r="O49" s="10">
        <f t="shared" si="0"/>
        <v>3912</v>
      </c>
      <c r="P49" s="97">
        <f t="shared" si="1"/>
        <v>2.1455837830722652E-2</v>
      </c>
      <c r="Q49" s="17" t="s">
        <v>44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 s="25" t="str">
        <f t="shared" si="3"/>
        <v xml:space="preserve"> </v>
      </c>
    </row>
    <row r="50" spans="1:22" x14ac:dyDescent="0.2">
      <c r="A50" s="42">
        <v>4760</v>
      </c>
      <c r="B50" s="77" t="s">
        <v>15</v>
      </c>
      <c r="C50" s="10">
        <v>217298</v>
      </c>
      <c r="D50" s="5">
        <v>270890</v>
      </c>
      <c r="E50" s="5">
        <v>-53592</v>
      </c>
      <c r="F50" s="10">
        <v>255448</v>
      </c>
      <c r="G50" s="5">
        <v>315987</v>
      </c>
      <c r="H50" s="5">
        <v>-60539</v>
      </c>
      <c r="I50" s="10">
        <v>337375</v>
      </c>
      <c r="J50" s="5">
        <v>267905</v>
      </c>
      <c r="K50" s="5">
        <v>69470</v>
      </c>
      <c r="L50" s="10">
        <v>215771</v>
      </c>
      <c r="M50" s="5">
        <v>267596</v>
      </c>
      <c r="N50" s="5">
        <v>-51825</v>
      </c>
      <c r="O50" s="10">
        <f t="shared" si="4"/>
        <v>-44661</v>
      </c>
      <c r="P50" s="97">
        <f t="shared" si="5"/>
        <v>-5.2248348411234199E-2</v>
      </c>
      <c r="Q50" s="17" t="s">
        <v>44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s="25" t="str">
        <f t="shared" si="3"/>
        <v xml:space="preserve"> </v>
      </c>
    </row>
    <row r="51" spans="1:22" x14ac:dyDescent="0.2">
      <c r="A51" s="42">
        <v>6084</v>
      </c>
      <c r="B51" s="77" t="s">
        <v>15</v>
      </c>
      <c r="C51" s="10">
        <v>1200</v>
      </c>
      <c r="D51" s="5">
        <v>16</v>
      </c>
      <c r="E51" s="5">
        <v>1184</v>
      </c>
      <c r="F51" s="10">
        <v>0</v>
      </c>
      <c r="G51" s="5">
        <v>24</v>
      </c>
      <c r="H51" s="5">
        <v>-24</v>
      </c>
      <c r="I51" s="10">
        <v>0</v>
      </c>
      <c r="J51" s="5">
        <v>21</v>
      </c>
      <c r="K51" s="5">
        <v>-21</v>
      </c>
      <c r="L51" s="10">
        <v>0</v>
      </c>
      <c r="M51" s="5">
        <v>17</v>
      </c>
      <c r="N51" s="5">
        <v>-17</v>
      </c>
      <c r="O51" s="10">
        <f t="shared" si="0"/>
        <v>1139</v>
      </c>
      <c r="P51" s="97">
        <f t="shared" si="1"/>
        <v>18.370967741935484</v>
      </c>
      <c r="Q51" s="101" t="str">
        <f t="shared" ref="Q51:Q89" si="6">" "</f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>X</v>
      </c>
      <c r="V51" s="25" t="str">
        <f t="shared" si="3"/>
        <v xml:space="preserve"> </v>
      </c>
    </row>
    <row r="52" spans="1:22" x14ac:dyDescent="0.2">
      <c r="A52" s="42">
        <v>6728</v>
      </c>
      <c r="B52" s="77" t="s">
        <v>15</v>
      </c>
      <c r="C52" s="10">
        <v>12000</v>
      </c>
      <c r="D52" s="5">
        <v>13868</v>
      </c>
      <c r="E52" s="5">
        <v>-1868</v>
      </c>
      <c r="F52" s="10">
        <v>12000</v>
      </c>
      <c r="G52" s="5">
        <v>10747</v>
      </c>
      <c r="H52" s="5">
        <v>1253</v>
      </c>
      <c r="I52" s="10">
        <v>12000</v>
      </c>
      <c r="J52" s="5">
        <v>10956</v>
      </c>
      <c r="K52" s="5">
        <v>1044</v>
      </c>
      <c r="L52" s="10">
        <v>12000</v>
      </c>
      <c r="M52" s="5">
        <v>10627</v>
      </c>
      <c r="N52" s="5">
        <v>1373</v>
      </c>
      <c r="O52" s="10">
        <f t="shared" si="0"/>
        <v>429</v>
      </c>
      <c r="P52" s="97">
        <f t="shared" si="1"/>
        <v>1.2060047228156977E-2</v>
      </c>
      <c r="Q52" s="101" t="str">
        <f t="shared" si="6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s="25" t="str">
        <f t="shared" si="3"/>
        <v xml:space="preserve"> </v>
      </c>
    </row>
    <row r="53" spans="1:22" x14ac:dyDescent="0.2">
      <c r="A53" s="42">
        <v>12296</v>
      </c>
      <c r="B53" s="77" t="s">
        <v>15</v>
      </c>
      <c r="C53" s="10">
        <v>29732</v>
      </c>
      <c r="D53" s="5">
        <v>29339</v>
      </c>
      <c r="E53" s="5">
        <v>393</v>
      </c>
      <c r="F53" s="10">
        <v>28231</v>
      </c>
      <c r="G53" s="5">
        <v>28476</v>
      </c>
      <c r="H53" s="5">
        <v>-245</v>
      </c>
      <c r="I53" s="10">
        <v>28231</v>
      </c>
      <c r="J53" s="5">
        <v>28481</v>
      </c>
      <c r="K53" s="5">
        <v>-250</v>
      </c>
      <c r="L53" s="10">
        <v>28231</v>
      </c>
      <c r="M53" s="5">
        <v>25473</v>
      </c>
      <c r="N53" s="5">
        <v>2758</v>
      </c>
      <c r="O53" s="10">
        <f t="shared" si="4"/>
        <v>-102</v>
      </c>
      <c r="P53" s="97">
        <f t="shared" si="5"/>
        <v>-1.1819646105890123E-3</v>
      </c>
      <c r="Q53" s="101" t="str">
        <f t="shared" si="6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s="25" t="str">
        <f t="shared" si="3"/>
        <v xml:space="preserve"> </v>
      </c>
    </row>
    <row r="54" spans="1:22" hidden="1" x14ac:dyDescent="0.2">
      <c r="A54" s="42"/>
      <c r="B54" s="77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si="4"/>
        <v>0</v>
      </c>
      <c r="P54" s="97">
        <f t="shared" si="5"/>
        <v>0</v>
      </c>
      <c r="Q54" s="101" t="str">
        <f t="shared" si="6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s="25" t="str">
        <f t="shared" si="3"/>
        <v xml:space="preserve"> </v>
      </c>
    </row>
    <row r="55" spans="1:22" hidden="1" x14ac:dyDescent="0.2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4"/>
        <v>0</v>
      </c>
      <c r="P55" s="97">
        <f t="shared" si="5"/>
        <v>0</v>
      </c>
      <c r="Q55" s="101" t="str">
        <f t="shared" si="6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s="25" t="str">
        <f t="shared" si="3"/>
        <v xml:space="preserve"> </v>
      </c>
    </row>
    <row r="56" spans="1:22" hidden="1" x14ac:dyDescent="0.2">
      <c r="A56" s="42"/>
      <c r="B56" s="77"/>
      <c r="C56" s="15">
        <v>36677</v>
      </c>
      <c r="D56" s="5"/>
      <c r="E56" s="6"/>
      <c r="F56" s="15">
        <v>36678</v>
      </c>
      <c r="G56" s="5"/>
      <c r="H56" s="6"/>
      <c r="I56" s="15">
        <v>36679</v>
      </c>
      <c r="J56" s="5"/>
      <c r="K56" s="6"/>
      <c r="L56" s="15">
        <v>36680</v>
      </c>
      <c r="M56" s="5"/>
      <c r="N56" s="6"/>
      <c r="O56" s="10">
        <f t="shared" si="4"/>
        <v>0</v>
      </c>
      <c r="P56" s="97">
        <f t="shared" si="5"/>
        <v>0</v>
      </c>
      <c r="Q56" s="101" t="str">
        <f t="shared" si="6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s="25" t="str">
        <f t="shared" si="3"/>
        <v xml:space="preserve"> </v>
      </c>
    </row>
    <row r="57" spans="1:22" hidden="1" x14ac:dyDescent="0.2">
      <c r="A57" s="42" t="s">
        <v>6</v>
      </c>
      <c r="B57" s="77" t="s">
        <v>7</v>
      </c>
      <c r="C57" s="15" t="s">
        <v>37</v>
      </c>
      <c r="D57" s="5" t="s">
        <v>40</v>
      </c>
      <c r="E57" s="5" t="s">
        <v>41</v>
      </c>
      <c r="F57" s="15" t="s">
        <v>37</v>
      </c>
      <c r="G57" s="5" t="s">
        <v>40</v>
      </c>
      <c r="H57" s="5" t="s">
        <v>41</v>
      </c>
      <c r="I57" s="15" t="s">
        <v>37</v>
      </c>
      <c r="J57" s="5" t="s">
        <v>40</v>
      </c>
      <c r="K57" s="5" t="s">
        <v>41</v>
      </c>
      <c r="L57" s="15" t="s">
        <v>37</v>
      </c>
      <c r="M57" s="5" t="s">
        <v>40</v>
      </c>
      <c r="N57" s="5" t="s">
        <v>41</v>
      </c>
      <c r="O57" s="10" t="e">
        <f t="shared" si="4"/>
        <v>#VALUE!</v>
      </c>
      <c r="P57" s="97" t="e">
        <f t="shared" si="5"/>
        <v>#VALUE!</v>
      </c>
      <c r="Q57" s="101" t="str">
        <f t="shared" si="6"/>
        <v xml:space="preserve"> </v>
      </c>
      <c r="R57" s="91" t="e">
        <f>IF($C$4="High Inventory",IF(AND(O57&gt;=Summary!$C$106,P57&gt;=Summary!$C$107),"X"," "),IF(AND(O57&lt;=-Summary!$C$106,P57&lt;=-Summary!$C$107),"X"," "))</f>
        <v>#VALUE!</v>
      </c>
      <c r="S57" s="21" t="e">
        <f>IF(AND(L57-I57&gt;=Summary!$C$110,N57-K57&gt;Summary!$C$110,N57&gt;0),"X"," ")</f>
        <v>#VALUE!</v>
      </c>
      <c r="T57" s="17"/>
      <c r="U57" s="21" t="e">
        <f>IF($C$4="High Inventory",IF(AND($O57&gt;=0,$P57&gt;=Summary!$C$107),"X"," "),IF(AND($O57&lt;=0,$P57&lt;=-Summary!$C$107),"X"," "))</f>
        <v>#VALUE!</v>
      </c>
      <c r="V57" s="25"/>
    </row>
    <row r="58" spans="1:22" x14ac:dyDescent="0.2">
      <c r="A58" s="42">
        <v>51</v>
      </c>
      <c r="B58" s="77" t="s">
        <v>17</v>
      </c>
      <c r="C58" s="10">
        <v>12566</v>
      </c>
      <c r="D58" s="5">
        <v>9732</v>
      </c>
      <c r="E58" s="5">
        <v>2834</v>
      </c>
      <c r="F58" s="10">
        <v>12123</v>
      </c>
      <c r="G58" s="5">
        <v>9376</v>
      </c>
      <c r="H58" s="5">
        <v>2747</v>
      </c>
      <c r="I58" s="10">
        <v>12123</v>
      </c>
      <c r="J58" s="5">
        <v>10136</v>
      </c>
      <c r="K58" s="5">
        <v>1987</v>
      </c>
      <c r="L58" s="10">
        <v>12123</v>
      </c>
      <c r="M58" s="5">
        <v>7316</v>
      </c>
      <c r="N58" s="5">
        <v>4807</v>
      </c>
      <c r="O58" s="10">
        <f>K58+H58+E58</f>
        <v>7568</v>
      </c>
      <c r="P58" s="97">
        <f t="shared" ref="P58:P89" si="7">O58/(J58+G58+D58+1)</f>
        <v>0.25877927850914684</v>
      </c>
      <c r="Q58" s="101" t="str">
        <f t="shared" si="6"/>
        <v xml:space="preserve"> </v>
      </c>
      <c r="R58" s="91" t="str">
        <f>IF($C$4="High Inventory",IF(AND(O58&gt;=Summary!$C$106,P58&gt;=Summary!$C$107),"X"," "),IF(AND(O58&lt;=-Summary!$C$106,P58&lt;=-Summary!$C$107),"X"," "))</f>
        <v>X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>X</v>
      </c>
      <c r="U58" s="21" t="str">
        <f>IF($C$4="High Inventory",IF(AND($O58&gt;=0,$P58&gt;=Summary!$C$107),"X"," "),IF(AND($O58&lt;=0,$P58&lt;=-Summary!$C$107),"X"," "))</f>
        <v>X</v>
      </c>
      <c r="V58" s="25" t="str">
        <f t="shared" ref="V58:V89" si="8">IF(S58 = "X",L58-I58," ")</f>
        <v xml:space="preserve"> </v>
      </c>
    </row>
    <row r="59" spans="1:22" x14ac:dyDescent="0.2">
      <c r="A59" s="42">
        <v>201</v>
      </c>
      <c r="B59" s="77" t="s">
        <v>17</v>
      </c>
      <c r="C59" s="10"/>
      <c r="D59" s="5"/>
      <c r="E59" s="5"/>
      <c r="F59" s="10">
        <v>0</v>
      </c>
      <c r="G59" s="5">
        <v>138</v>
      </c>
      <c r="H59" s="5">
        <v>-138</v>
      </c>
      <c r="I59" s="10">
        <v>0</v>
      </c>
      <c r="J59" s="5">
        <v>141</v>
      </c>
      <c r="K59" s="5">
        <v>-141</v>
      </c>
      <c r="L59" s="10">
        <v>0</v>
      </c>
      <c r="M59" s="5">
        <v>102</v>
      </c>
      <c r="N59" s="5">
        <v>-102</v>
      </c>
      <c r="O59" s="10">
        <f>K59+H59+E59</f>
        <v>-279</v>
      </c>
      <c r="P59" s="97">
        <f t="shared" si="7"/>
        <v>-0.99642857142857144</v>
      </c>
      <c r="Q59" s="101" t="str">
        <f t="shared" si="6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s="25" t="str">
        <f t="shared" si="8"/>
        <v xml:space="preserve"> </v>
      </c>
    </row>
    <row r="60" spans="1:22" x14ac:dyDescent="0.2">
      <c r="A60" s="42">
        <v>282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>K60+H60+E60</f>
        <v>0</v>
      </c>
      <c r="P60" s="97">
        <f t="shared" si="7"/>
        <v>0</v>
      </c>
      <c r="Q60" s="101" t="str">
        <f t="shared" si="6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s="25" t="str">
        <f t="shared" si="8"/>
        <v xml:space="preserve"> </v>
      </c>
    </row>
    <row r="61" spans="1:22" x14ac:dyDescent="0.2">
      <c r="A61" s="42">
        <v>289</v>
      </c>
      <c r="B61" s="77" t="s">
        <v>17</v>
      </c>
      <c r="C61" s="10">
        <v>0</v>
      </c>
      <c r="D61" s="5">
        <v>0</v>
      </c>
      <c r="E61" s="5">
        <v>0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>K61+H61+E61</f>
        <v>0</v>
      </c>
      <c r="P61" s="97">
        <f t="shared" si="7"/>
        <v>0</v>
      </c>
      <c r="Q61" s="101" t="str">
        <f t="shared" si="6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s="25" t="str">
        <f t="shared" si="8"/>
        <v xml:space="preserve"> </v>
      </c>
    </row>
    <row r="62" spans="1:22" x14ac:dyDescent="0.2">
      <c r="A62" s="42">
        <v>432</v>
      </c>
      <c r="B62" s="77" t="s">
        <v>17</v>
      </c>
      <c r="C62" s="10"/>
      <c r="D62" s="5"/>
      <c r="E62" s="5"/>
      <c r="F62" s="10">
        <v>0</v>
      </c>
      <c r="G62" s="5">
        <v>0</v>
      </c>
      <c r="H62" s="5">
        <v>0</v>
      </c>
      <c r="I62" s="10">
        <v>0</v>
      </c>
      <c r="J62" s="5">
        <v>1</v>
      </c>
      <c r="K62" s="5">
        <v>-1</v>
      </c>
      <c r="L62" s="10">
        <v>0</v>
      </c>
      <c r="M62" s="5">
        <v>1</v>
      </c>
      <c r="N62" s="5">
        <v>-1</v>
      </c>
      <c r="O62" s="10">
        <f t="shared" ref="O62:O79" si="9">K62+H62+E62</f>
        <v>-1</v>
      </c>
      <c r="P62" s="97">
        <f t="shared" si="7"/>
        <v>-0.5</v>
      </c>
      <c r="Q62" s="101" t="str">
        <f t="shared" si="6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s="25" t="str">
        <f t="shared" si="8"/>
        <v xml:space="preserve"> </v>
      </c>
    </row>
    <row r="63" spans="1:22" x14ac:dyDescent="0.2">
      <c r="A63" s="42">
        <v>476</v>
      </c>
      <c r="B63" s="77" t="s">
        <v>17</v>
      </c>
      <c r="C63" s="10">
        <v>0</v>
      </c>
      <c r="D63" s="5">
        <v>0</v>
      </c>
      <c r="E63" s="5">
        <v>0</v>
      </c>
      <c r="F63" s="10">
        <v>0</v>
      </c>
      <c r="G63" s="5">
        <v>0</v>
      </c>
      <c r="H63" s="5">
        <v>0</v>
      </c>
      <c r="I63" s="10">
        <v>0</v>
      </c>
      <c r="J63" s="5">
        <v>0</v>
      </c>
      <c r="K63" s="5">
        <v>0</v>
      </c>
      <c r="L63" s="10">
        <v>0</v>
      </c>
      <c r="M63" s="5">
        <v>0</v>
      </c>
      <c r="N63" s="5">
        <v>0</v>
      </c>
      <c r="O63" s="10">
        <f>K63+H63+E63</f>
        <v>0</v>
      </c>
      <c r="P63" s="97">
        <f t="shared" si="7"/>
        <v>0</v>
      </c>
      <c r="Q63" s="101" t="str">
        <f t="shared" si="6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s="25" t="str">
        <f t="shared" si="8"/>
        <v xml:space="preserve"> </v>
      </c>
    </row>
    <row r="64" spans="1:22" x14ac:dyDescent="0.2">
      <c r="A64" s="42">
        <v>512</v>
      </c>
      <c r="B64" s="77" t="s">
        <v>17</v>
      </c>
      <c r="C64" s="10">
        <v>1748</v>
      </c>
      <c r="D64" s="5">
        <v>1172</v>
      </c>
      <c r="E64" s="5">
        <v>576</v>
      </c>
      <c r="F64" s="10">
        <v>3000</v>
      </c>
      <c r="G64" s="5">
        <v>2764</v>
      </c>
      <c r="H64" s="5">
        <v>236</v>
      </c>
      <c r="I64" s="10">
        <v>2988</v>
      </c>
      <c r="J64" s="5">
        <v>2476</v>
      </c>
      <c r="K64" s="5">
        <v>512</v>
      </c>
      <c r="L64" s="10">
        <v>2500</v>
      </c>
      <c r="M64" s="5">
        <v>1420</v>
      </c>
      <c r="N64" s="5">
        <v>1080</v>
      </c>
      <c r="O64" s="10">
        <f t="shared" si="9"/>
        <v>1324</v>
      </c>
      <c r="P64" s="97">
        <f t="shared" si="7"/>
        <v>0.20645563698736941</v>
      </c>
      <c r="Q64" s="101" t="str">
        <f t="shared" si="6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>X</v>
      </c>
      <c r="V64" s="25" t="str">
        <f t="shared" si="8"/>
        <v xml:space="preserve"> </v>
      </c>
    </row>
    <row r="65" spans="1:22" x14ac:dyDescent="0.2">
      <c r="A65" s="42">
        <v>757</v>
      </c>
      <c r="B65" s="77" t="s">
        <v>17</v>
      </c>
      <c r="C65" s="10">
        <v>0</v>
      </c>
      <c r="D65" s="5">
        <v>471</v>
      </c>
      <c r="E65" s="5">
        <v>-471</v>
      </c>
      <c r="F65" s="10">
        <v>0</v>
      </c>
      <c r="G65" s="5">
        <v>448</v>
      </c>
      <c r="H65" s="5">
        <v>-448</v>
      </c>
      <c r="I65" s="10">
        <v>0</v>
      </c>
      <c r="J65" s="5">
        <v>466</v>
      </c>
      <c r="K65" s="5">
        <v>-466</v>
      </c>
      <c r="L65" s="10">
        <v>0</v>
      </c>
      <c r="M65" s="5">
        <v>512</v>
      </c>
      <c r="N65" s="5">
        <v>-512</v>
      </c>
      <c r="O65" s="10">
        <f t="shared" si="9"/>
        <v>-1385</v>
      </c>
      <c r="P65" s="97">
        <f t="shared" si="7"/>
        <v>-0.99927849927849932</v>
      </c>
      <c r="Q65" s="101" t="str">
        <f t="shared" si="6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s="25" t="str">
        <f t="shared" si="8"/>
        <v xml:space="preserve"> </v>
      </c>
    </row>
    <row r="66" spans="1:22" x14ac:dyDescent="0.2">
      <c r="A66" s="42">
        <v>761</v>
      </c>
      <c r="B66" s="77" t="s">
        <v>17</v>
      </c>
      <c r="C66" s="10">
        <v>0</v>
      </c>
      <c r="D66" s="5">
        <v>6</v>
      </c>
      <c r="E66" s="5">
        <v>-6</v>
      </c>
      <c r="F66" s="10">
        <v>0</v>
      </c>
      <c r="G66" s="5">
        <v>1</v>
      </c>
      <c r="H66" s="5">
        <v>-1</v>
      </c>
      <c r="I66" s="10">
        <v>0</v>
      </c>
      <c r="J66" s="5">
        <v>1</v>
      </c>
      <c r="K66" s="5">
        <v>-1</v>
      </c>
      <c r="L66" s="10">
        <v>0</v>
      </c>
      <c r="M66" s="5">
        <v>1</v>
      </c>
      <c r="N66" s="5">
        <v>-1</v>
      </c>
      <c r="O66" s="10">
        <f>K66+H66+E66</f>
        <v>-8</v>
      </c>
      <c r="P66" s="97">
        <f t="shared" si="7"/>
        <v>-0.88888888888888884</v>
      </c>
      <c r="Q66" s="101" t="str">
        <f t="shared" si="6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s="25" t="str">
        <f t="shared" si="8"/>
        <v xml:space="preserve"> </v>
      </c>
    </row>
    <row r="67" spans="1:22" x14ac:dyDescent="0.2">
      <c r="A67" s="42">
        <v>764</v>
      </c>
      <c r="B67" s="77" t="s">
        <v>17</v>
      </c>
      <c r="C67" s="10">
        <v>196</v>
      </c>
      <c r="D67" s="5">
        <v>223</v>
      </c>
      <c r="E67" s="5">
        <v>-27</v>
      </c>
      <c r="F67" s="10">
        <v>196</v>
      </c>
      <c r="G67" s="5">
        <v>196</v>
      </c>
      <c r="H67" s="5">
        <v>0</v>
      </c>
      <c r="I67" s="10">
        <v>196</v>
      </c>
      <c r="J67" s="5">
        <v>206</v>
      </c>
      <c r="K67" s="5">
        <v>-10</v>
      </c>
      <c r="L67" s="10">
        <v>196</v>
      </c>
      <c r="M67" s="5">
        <v>171</v>
      </c>
      <c r="N67" s="5">
        <v>25</v>
      </c>
      <c r="O67" s="10">
        <f t="shared" si="9"/>
        <v>-37</v>
      </c>
      <c r="P67" s="97">
        <f t="shared" si="7"/>
        <v>-5.9105431309904151E-2</v>
      </c>
      <c r="Q67" s="101" t="str">
        <f t="shared" si="6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s="25" t="str">
        <f t="shared" si="8"/>
        <v xml:space="preserve"> </v>
      </c>
    </row>
    <row r="68" spans="1:22" x14ac:dyDescent="0.2">
      <c r="A68" s="42">
        <v>765</v>
      </c>
      <c r="B68" s="77" t="s">
        <v>17</v>
      </c>
      <c r="C68" s="10">
        <v>7271</v>
      </c>
      <c r="D68" s="5">
        <v>7375</v>
      </c>
      <c r="E68" s="5">
        <v>-104</v>
      </c>
      <c r="F68" s="10">
        <v>7271</v>
      </c>
      <c r="G68" s="5">
        <v>7336</v>
      </c>
      <c r="H68" s="5">
        <v>-65</v>
      </c>
      <c r="I68" s="10">
        <v>7271</v>
      </c>
      <c r="J68" s="5">
        <v>7379</v>
      </c>
      <c r="K68" s="5">
        <v>-108</v>
      </c>
      <c r="L68" s="10">
        <v>7271</v>
      </c>
      <c r="M68" s="5">
        <v>7403</v>
      </c>
      <c r="N68" s="5">
        <v>-132</v>
      </c>
      <c r="O68" s="10">
        <f t="shared" si="9"/>
        <v>-277</v>
      </c>
      <c r="P68" s="97">
        <f t="shared" si="7"/>
        <v>-1.2539043049205559E-2</v>
      </c>
      <c r="Q68" s="101" t="str">
        <f t="shared" si="6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s="25" t="str">
        <f t="shared" si="8"/>
        <v xml:space="preserve"> </v>
      </c>
    </row>
    <row r="69" spans="1:22" x14ac:dyDescent="0.2">
      <c r="A69" s="42">
        <v>779</v>
      </c>
      <c r="B69" s="77" t="s">
        <v>17</v>
      </c>
      <c r="C69" s="10">
        <v>800</v>
      </c>
      <c r="D69" s="5">
        <v>1311</v>
      </c>
      <c r="E69" s="5">
        <v>-511</v>
      </c>
      <c r="F69" s="10">
        <v>800</v>
      </c>
      <c r="G69" s="5">
        <v>1221</v>
      </c>
      <c r="H69" s="5">
        <v>-421</v>
      </c>
      <c r="I69" s="10">
        <v>800</v>
      </c>
      <c r="J69" s="5">
        <v>1297</v>
      </c>
      <c r="K69" s="5">
        <v>-497</v>
      </c>
      <c r="L69" s="10">
        <v>800</v>
      </c>
      <c r="M69" s="5">
        <v>1045</v>
      </c>
      <c r="N69" s="5">
        <v>-245</v>
      </c>
      <c r="O69" s="10">
        <f>K69+H69+E69</f>
        <v>-1429</v>
      </c>
      <c r="P69" s="97">
        <f t="shared" si="7"/>
        <v>-0.37310704960835511</v>
      </c>
      <c r="Q69" s="101" t="str">
        <f t="shared" si="6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s="25" t="str">
        <f t="shared" si="8"/>
        <v xml:space="preserve"> </v>
      </c>
    </row>
    <row r="70" spans="1:22" x14ac:dyDescent="0.2">
      <c r="A70" s="42">
        <v>809</v>
      </c>
      <c r="B70" s="77" t="s">
        <v>17</v>
      </c>
      <c r="C70" s="10"/>
      <c r="D70" s="5"/>
      <c r="E70" s="5"/>
      <c r="F70" s="10">
        <v>0</v>
      </c>
      <c r="G70" s="5">
        <v>2</v>
      </c>
      <c r="H70" s="5">
        <v>-2</v>
      </c>
      <c r="I70" s="10">
        <v>0</v>
      </c>
      <c r="J70" s="5">
        <v>1</v>
      </c>
      <c r="K70" s="5">
        <v>-1</v>
      </c>
      <c r="L70" s="10">
        <v>0</v>
      </c>
      <c r="M70" s="5">
        <v>0</v>
      </c>
      <c r="N70" s="5">
        <v>0</v>
      </c>
      <c r="O70" s="10">
        <f>K70+H70+E70</f>
        <v>-3</v>
      </c>
      <c r="P70" s="97">
        <f t="shared" si="7"/>
        <v>-0.75</v>
      </c>
      <c r="Q70" s="101" t="str">
        <f t="shared" si="6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s="25" t="str">
        <f t="shared" si="8"/>
        <v xml:space="preserve"> </v>
      </c>
    </row>
    <row r="71" spans="1:22" x14ac:dyDescent="0.2">
      <c r="A71" s="42">
        <v>810</v>
      </c>
      <c r="B71" s="77" t="s">
        <v>17</v>
      </c>
      <c r="C71" s="10"/>
      <c r="D71" s="5"/>
      <c r="E71" s="5"/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 t="shared" si="9"/>
        <v>0</v>
      </c>
      <c r="P71" s="97">
        <f t="shared" si="7"/>
        <v>0</v>
      </c>
      <c r="Q71" s="101" t="str">
        <f t="shared" si="6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s="25" t="str">
        <f t="shared" si="8"/>
        <v xml:space="preserve"> </v>
      </c>
    </row>
    <row r="72" spans="1:22" x14ac:dyDescent="0.2">
      <c r="A72" s="42">
        <v>899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>K72+H72+E72</f>
        <v>0</v>
      </c>
      <c r="P72" s="97">
        <f t="shared" si="7"/>
        <v>0</v>
      </c>
      <c r="Q72" s="101" t="str">
        <f t="shared" si="6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s="25" t="str">
        <f t="shared" si="8"/>
        <v xml:space="preserve"> </v>
      </c>
    </row>
    <row r="73" spans="1:22" x14ac:dyDescent="0.2">
      <c r="A73" s="42">
        <v>928</v>
      </c>
      <c r="B73" s="77" t="s">
        <v>17</v>
      </c>
      <c r="C73" s="10">
        <v>190</v>
      </c>
      <c r="D73" s="5">
        <v>188</v>
      </c>
      <c r="E73" s="5">
        <v>2</v>
      </c>
      <c r="F73" s="10">
        <v>190</v>
      </c>
      <c r="G73" s="5">
        <v>189</v>
      </c>
      <c r="H73" s="5">
        <v>1</v>
      </c>
      <c r="I73" s="10">
        <v>0</v>
      </c>
      <c r="J73" s="5">
        <v>188</v>
      </c>
      <c r="K73" s="5">
        <v>-188</v>
      </c>
      <c r="L73" s="10">
        <v>190</v>
      </c>
      <c r="M73" s="5">
        <v>189</v>
      </c>
      <c r="N73" s="5">
        <v>1</v>
      </c>
      <c r="O73" s="10">
        <f>K73+H73+E73</f>
        <v>-185</v>
      </c>
      <c r="P73" s="97">
        <f t="shared" si="7"/>
        <v>-0.32685512367491165</v>
      </c>
      <c r="Q73" s="101" t="str">
        <f t="shared" si="6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s="25" t="str">
        <f t="shared" si="8"/>
        <v xml:space="preserve"> </v>
      </c>
    </row>
    <row r="74" spans="1:22" x14ac:dyDescent="0.2">
      <c r="A74" s="42">
        <v>997</v>
      </c>
      <c r="B74" s="77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 t="shared" si="9"/>
        <v>0</v>
      </c>
      <c r="P74" s="97">
        <f t="shared" si="7"/>
        <v>0</v>
      </c>
      <c r="Q74" s="101" t="str">
        <f t="shared" si="6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s="25" t="str">
        <f t="shared" si="8"/>
        <v xml:space="preserve"> </v>
      </c>
    </row>
    <row r="75" spans="1:22" x14ac:dyDescent="0.2">
      <c r="A75" s="42">
        <v>5342</v>
      </c>
      <c r="B75" s="77" t="s">
        <v>17</v>
      </c>
      <c r="C75" s="10">
        <v>0</v>
      </c>
      <c r="D75" s="5">
        <v>0</v>
      </c>
      <c r="E75" s="5">
        <v>0</v>
      </c>
      <c r="F75" s="10"/>
      <c r="G75" s="5"/>
      <c r="H75" s="5"/>
      <c r="I75" s="10"/>
      <c r="J75" s="5"/>
      <c r="K75" s="5"/>
      <c r="L75" s="10"/>
      <c r="M75" s="5"/>
      <c r="N75" s="5"/>
      <c r="O75" s="10">
        <f>K75+H75+E75</f>
        <v>0</v>
      </c>
      <c r="P75" s="97">
        <f t="shared" si="7"/>
        <v>0</v>
      </c>
      <c r="Q75" s="101" t="str">
        <f t="shared" si="6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s="25" t="str">
        <f t="shared" si="8"/>
        <v xml:space="preserve"> </v>
      </c>
    </row>
    <row r="76" spans="1:22" x14ac:dyDescent="0.2">
      <c r="A76" s="42">
        <v>5379</v>
      </c>
      <c r="B76" s="77" t="s">
        <v>17</v>
      </c>
      <c r="C76" s="10">
        <v>0</v>
      </c>
      <c r="D76" s="5">
        <v>0</v>
      </c>
      <c r="E76" s="5">
        <v>0</v>
      </c>
      <c r="F76" s="10">
        <v>0</v>
      </c>
      <c r="G76" s="5">
        <v>0</v>
      </c>
      <c r="H76" s="5">
        <v>0</v>
      </c>
      <c r="I76" s="10">
        <v>0</v>
      </c>
      <c r="J76" s="5">
        <v>0</v>
      </c>
      <c r="K76" s="5">
        <v>0</v>
      </c>
      <c r="L76" s="10">
        <v>0</v>
      </c>
      <c r="M76" s="5">
        <v>0</v>
      </c>
      <c r="N76" s="5">
        <v>0</v>
      </c>
      <c r="O76" s="10">
        <f>K76+H76+E76</f>
        <v>0</v>
      </c>
      <c r="P76" s="97">
        <f t="shared" si="7"/>
        <v>0</v>
      </c>
      <c r="Q76" s="101" t="str">
        <f t="shared" si="6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s="25" t="str">
        <f t="shared" si="8"/>
        <v xml:space="preserve"> </v>
      </c>
    </row>
    <row r="77" spans="1:22" x14ac:dyDescent="0.2">
      <c r="A77" s="42">
        <v>6187</v>
      </c>
      <c r="B77" s="77" t="s">
        <v>17</v>
      </c>
      <c r="C77" s="10"/>
      <c r="D77" s="5"/>
      <c r="E77" s="5"/>
      <c r="F77" s="10">
        <v>0</v>
      </c>
      <c r="G77" s="5">
        <v>0</v>
      </c>
      <c r="H77" s="5">
        <v>0</v>
      </c>
      <c r="I77" s="10">
        <v>0</v>
      </c>
      <c r="J77" s="5">
        <v>0</v>
      </c>
      <c r="K77" s="5">
        <v>0</v>
      </c>
      <c r="L77" s="10">
        <v>0</v>
      </c>
      <c r="M77" s="5">
        <v>0</v>
      </c>
      <c r="N77" s="5">
        <v>0</v>
      </c>
      <c r="O77" s="10">
        <f>K77+H77+E77</f>
        <v>0</v>
      </c>
      <c r="P77" s="97">
        <f t="shared" si="7"/>
        <v>0</v>
      </c>
      <c r="Q77" s="101" t="str">
        <f t="shared" si="6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 xml:space="preserve"> </v>
      </c>
      <c r="U77" s="21" t="str">
        <f>IF($C$4="High Inventory",IF(AND($O77&gt;=0,$P77&gt;=Summary!$C$107),"X"," "),IF(AND($O77&lt;=0,$P77&lt;=-Summary!$C$107),"X"," "))</f>
        <v xml:space="preserve"> </v>
      </c>
      <c r="V77" s="25" t="str">
        <f t="shared" si="8"/>
        <v xml:space="preserve"> </v>
      </c>
    </row>
    <row r="78" spans="1:22" x14ac:dyDescent="0.2">
      <c r="A78" s="42">
        <v>7088</v>
      </c>
      <c r="B78" s="77" t="s">
        <v>17</v>
      </c>
      <c r="C78" s="10">
        <v>0</v>
      </c>
      <c r="D78" s="5">
        <v>11</v>
      </c>
      <c r="E78" s="5">
        <v>-11</v>
      </c>
      <c r="F78" s="10">
        <v>0</v>
      </c>
      <c r="G78" s="5">
        <v>20</v>
      </c>
      <c r="H78" s="5">
        <v>-20</v>
      </c>
      <c r="I78" s="10">
        <v>0</v>
      </c>
      <c r="J78" s="5">
        <v>17</v>
      </c>
      <c r="K78" s="5">
        <v>-17</v>
      </c>
      <c r="L78" s="10">
        <v>0</v>
      </c>
      <c r="M78" s="5">
        <v>8</v>
      </c>
      <c r="N78" s="5">
        <v>-8</v>
      </c>
      <c r="O78" s="10">
        <f t="shared" si="9"/>
        <v>-48</v>
      </c>
      <c r="P78" s="97">
        <f t="shared" si="7"/>
        <v>-0.97959183673469385</v>
      </c>
      <c r="Q78" s="101" t="str">
        <f t="shared" si="6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s="25" t="str">
        <f t="shared" si="8"/>
        <v xml:space="preserve"> </v>
      </c>
    </row>
    <row r="79" spans="1:22" x14ac:dyDescent="0.2">
      <c r="A79" s="42">
        <v>7602</v>
      </c>
      <c r="B79" s="77" t="s">
        <v>17</v>
      </c>
      <c r="C79" s="10">
        <v>34634</v>
      </c>
      <c r="D79" s="5">
        <v>40004</v>
      </c>
      <c r="E79" s="5">
        <v>-5370</v>
      </c>
      <c r="F79" s="10">
        <v>40216</v>
      </c>
      <c r="G79" s="5">
        <v>39710</v>
      </c>
      <c r="H79" s="5">
        <v>506</v>
      </c>
      <c r="I79" s="10">
        <v>42181</v>
      </c>
      <c r="J79" s="5">
        <v>39263</v>
      </c>
      <c r="K79" s="5">
        <v>2918</v>
      </c>
      <c r="L79" s="10">
        <v>40265</v>
      </c>
      <c r="M79" s="5">
        <v>34005</v>
      </c>
      <c r="N79" s="5">
        <v>6260</v>
      </c>
      <c r="O79" s="10">
        <f t="shared" si="9"/>
        <v>-1946</v>
      </c>
      <c r="P79" s="97">
        <f t="shared" si="7"/>
        <v>-1.6355964968313468E-2</v>
      </c>
      <c r="Q79" s="101" t="str">
        <f t="shared" si="6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s="25" t="str">
        <f t="shared" si="8"/>
        <v xml:space="preserve"> </v>
      </c>
    </row>
    <row r="80" spans="1:22" x14ac:dyDescent="0.2">
      <c r="A80" s="42">
        <v>7604</v>
      </c>
      <c r="B80" s="77" t="s">
        <v>17</v>
      </c>
      <c r="C80" s="10">
        <v>69030</v>
      </c>
      <c r="D80" s="5">
        <v>41095</v>
      </c>
      <c r="E80" s="5">
        <v>27935</v>
      </c>
      <c r="F80" s="10">
        <v>59075</v>
      </c>
      <c r="G80" s="5">
        <v>47484</v>
      </c>
      <c r="H80" s="5">
        <v>11591</v>
      </c>
      <c r="I80" s="10">
        <v>48126</v>
      </c>
      <c r="J80" s="5">
        <v>51785</v>
      </c>
      <c r="K80" s="5">
        <v>-3659</v>
      </c>
      <c r="L80" s="10">
        <v>69940</v>
      </c>
      <c r="M80" s="5">
        <v>52938</v>
      </c>
      <c r="N80" s="5">
        <v>17002</v>
      </c>
      <c r="O80" s="10">
        <f t="shared" ref="O80:O89" si="10">K80+H80+E80</f>
        <v>35867</v>
      </c>
      <c r="P80" s="97">
        <f t="shared" si="7"/>
        <v>0.25552666262957291</v>
      </c>
      <c r="Q80" s="101" t="str">
        <f t="shared" si="6"/>
        <v xml:space="preserve"> </v>
      </c>
      <c r="R80" s="91" t="str">
        <f>IF($C$4="High Inventory",IF(AND(O80&gt;=Summary!$C$106,P80&gt;=Summary!$C$107),"X"," "),IF(AND(O80&lt;=-Summary!$C$106,P80&lt;=-Summary!$C$107),"X"," "))</f>
        <v>X</v>
      </c>
      <c r="S80" s="21" t="str">
        <f>IF(AND(L80-I80&gt;=Summary!$C$110,N80-K80&gt;Summary!$C$110,N80&gt;0),"X"," ")</f>
        <v>X</v>
      </c>
      <c r="T80" s="17" t="str">
        <f>IF($C$4="High Inventory",IF(AND($O80&gt;=Summary!$C$106,$P80&gt;=0%),"X"," "),IF(AND($O80&lt;=-Summary!$C$106,$P80&lt;=0%),"X"," "))</f>
        <v>X</v>
      </c>
      <c r="U80" s="21" t="str">
        <f>IF($C$4="High Inventory",IF(AND($O80&gt;=0,$P80&gt;=Summary!$C$107),"X"," "),IF(AND($O80&lt;=0,$P80&lt;=-Summary!$C$107),"X"," "))</f>
        <v>X</v>
      </c>
      <c r="V80" s="25">
        <f t="shared" si="8"/>
        <v>21814</v>
      </c>
    </row>
    <row r="81" spans="1:22" x14ac:dyDescent="0.2">
      <c r="A81" s="42">
        <v>8576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10"/>
        <v>0</v>
      </c>
      <c r="P81" s="97">
        <f t="shared" si="7"/>
        <v>0</v>
      </c>
      <c r="Q81" s="101" t="str">
        <f t="shared" si="6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s="25" t="str">
        <f t="shared" si="8"/>
        <v xml:space="preserve"> </v>
      </c>
    </row>
    <row r="82" spans="1:22" x14ac:dyDescent="0.2">
      <c r="A82" s="42">
        <v>8577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10"/>
        <v>0</v>
      </c>
      <c r="P82" s="97">
        <f t="shared" si="7"/>
        <v>0</v>
      </c>
      <c r="Q82" s="101" t="str">
        <f t="shared" si="6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s="25" t="str">
        <f t="shared" si="8"/>
        <v xml:space="preserve"> </v>
      </c>
    </row>
    <row r="83" spans="1:22" x14ac:dyDescent="0.2">
      <c r="A83" s="42">
        <v>8578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 t="shared" si="10"/>
        <v>0</v>
      </c>
      <c r="P83" s="97">
        <f t="shared" si="7"/>
        <v>0</v>
      </c>
      <c r="Q83" s="101" t="str">
        <f t="shared" si="6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s="25" t="str">
        <f t="shared" si="8"/>
        <v xml:space="preserve"> </v>
      </c>
    </row>
    <row r="84" spans="1:22" x14ac:dyDescent="0.2">
      <c r="A84" s="42">
        <v>8579</v>
      </c>
      <c r="B84" s="77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10"/>
        <v>0</v>
      </c>
      <c r="P84" s="97">
        <f t="shared" si="7"/>
        <v>0</v>
      </c>
      <c r="Q84" s="101" t="str">
        <f t="shared" si="6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s="25" t="str">
        <f t="shared" si="8"/>
        <v xml:space="preserve"> </v>
      </c>
    </row>
    <row r="85" spans="1:22" x14ac:dyDescent="0.2">
      <c r="A85" s="42">
        <v>8580</v>
      </c>
      <c r="B85" s="77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10"/>
        <v>0</v>
      </c>
      <c r="P85" s="97">
        <f t="shared" si="7"/>
        <v>0</v>
      </c>
      <c r="Q85" s="101" t="str">
        <f t="shared" si="6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s="25" t="str">
        <f t="shared" si="8"/>
        <v xml:space="preserve"> </v>
      </c>
    </row>
    <row r="86" spans="1:22" x14ac:dyDescent="0.2">
      <c r="A86" s="42">
        <v>13636</v>
      </c>
      <c r="B86" s="77" t="s">
        <v>17</v>
      </c>
      <c r="C86" s="10">
        <v>0</v>
      </c>
      <c r="D86" s="5">
        <v>0</v>
      </c>
      <c r="E86" s="5">
        <v>0</v>
      </c>
      <c r="F86" s="10">
        <v>120</v>
      </c>
      <c r="G86" s="5">
        <v>0</v>
      </c>
      <c r="H86" s="5">
        <v>120</v>
      </c>
      <c r="I86" s="10">
        <v>0</v>
      </c>
      <c r="J86" s="5">
        <v>7</v>
      </c>
      <c r="K86" s="5">
        <v>-7</v>
      </c>
      <c r="L86" s="10">
        <v>120</v>
      </c>
      <c r="M86" s="5">
        <v>0</v>
      </c>
      <c r="N86" s="5">
        <v>120</v>
      </c>
      <c r="O86" s="10">
        <f t="shared" si="10"/>
        <v>113</v>
      </c>
      <c r="P86" s="97">
        <f t="shared" si="7"/>
        <v>14.125</v>
      </c>
      <c r="Q86" s="101" t="str">
        <f t="shared" si="6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>X</v>
      </c>
      <c r="V86" s="25" t="str">
        <f t="shared" si="8"/>
        <v xml:space="preserve"> </v>
      </c>
    </row>
    <row r="87" spans="1:22" x14ac:dyDescent="0.2">
      <c r="A87" s="42">
        <v>18287</v>
      </c>
      <c r="B87" s="77" t="s">
        <v>17</v>
      </c>
      <c r="C87" s="10">
        <v>0</v>
      </c>
      <c r="D87" s="5">
        <v>0</v>
      </c>
      <c r="E87" s="5">
        <v>0</v>
      </c>
      <c r="F87" s="10">
        <v>0</v>
      </c>
      <c r="G87" s="5">
        <v>0</v>
      </c>
      <c r="H87" s="5">
        <v>0</v>
      </c>
      <c r="I87" s="10">
        <v>0</v>
      </c>
      <c r="J87" s="5">
        <v>0</v>
      </c>
      <c r="K87" s="5">
        <v>0</v>
      </c>
      <c r="L87" s="10">
        <v>0</v>
      </c>
      <c r="M87" s="5">
        <v>0</v>
      </c>
      <c r="N87" s="5">
        <v>0</v>
      </c>
      <c r="O87" s="10">
        <f t="shared" si="10"/>
        <v>0</v>
      </c>
      <c r="P87" s="97">
        <f t="shared" si="7"/>
        <v>0</v>
      </c>
      <c r="Q87" s="101" t="str">
        <f t="shared" si="6"/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21" t="str">
        <f>IF(AND(L87-I87&gt;=Summary!$C$110,N87-K87&gt;Summary!$C$110,N87&gt;0),"X"," ")</f>
        <v xml:space="preserve"> </v>
      </c>
      <c r="T87" s="17" t="str">
        <f>IF($C$4="High Inventory",IF(AND($O87&gt;=Summary!$C$106,$P87&gt;=0%),"X"," "),IF(AND($O87&lt;=-Summary!$C$106,$P87&lt;=0%),"X"," "))</f>
        <v xml:space="preserve"> </v>
      </c>
      <c r="U87" s="21" t="str">
        <f>IF($C$4="High Inventory",IF(AND($O87&gt;=0,$P87&gt;=Summary!$C$107),"X"," "),IF(AND($O87&lt;=0,$P87&lt;=-Summary!$C$107),"X"," "))</f>
        <v xml:space="preserve"> </v>
      </c>
      <c r="V87" s="25" t="str">
        <f t="shared" si="8"/>
        <v xml:space="preserve"> </v>
      </c>
    </row>
    <row r="88" spans="1:22" x14ac:dyDescent="0.2">
      <c r="A88" s="42">
        <v>20566</v>
      </c>
      <c r="B88" s="77" t="s">
        <v>17</v>
      </c>
      <c r="C88" s="10">
        <v>0</v>
      </c>
      <c r="D88" s="5">
        <v>0</v>
      </c>
      <c r="E88" s="5">
        <v>0</v>
      </c>
      <c r="F88" s="10">
        <v>0</v>
      </c>
      <c r="G88" s="5">
        <v>0</v>
      </c>
      <c r="H88" s="5">
        <v>0</v>
      </c>
      <c r="I88" s="10">
        <v>0</v>
      </c>
      <c r="J88" s="5">
        <v>0</v>
      </c>
      <c r="K88" s="5">
        <v>0</v>
      </c>
      <c r="L88" s="10">
        <v>0</v>
      </c>
      <c r="M88" s="5">
        <v>0</v>
      </c>
      <c r="N88" s="5">
        <v>0</v>
      </c>
      <c r="O88" s="10">
        <f t="shared" si="10"/>
        <v>0</v>
      </c>
      <c r="P88" s="97">
        <f t="shared" si="7"/>
        <v>0</v>
      </c>
      <c r="Q88" s="101" t="str">
        <f t="shared" si="6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21" t="str">
        <f>IF(AND(L88-I88&gt;=Summary!$C$110,N88-K88&gt;Summary!$C$110,N88&gt;0),"X"," ")</f>
        <v xml:space="preserve"> </v>
      </c>
      <c r="T88" s="17" t="str">
        <f>IF($C$4="High Inventory",IF(AND($O88&gt;=Summary!$C$106,$P88&gt;=0%),"X"," "),IF(AND($O88&lt;=-Summary!$C$106,$P88&lt;=0%),"X"," "))</f>
        <v xml:space="preserve"> </v>
      </c>
      <c r="U88" s="21" t="str">
        <f>IF($C$4="High Inventory",IF(AND($O88&gt;=0,$P88&gt;=Summary!$C$107),"X"," "),IF(AND($O88&lt;=0,$P88&lt;=-Summary!$C$107),"X"," "))</f>
        <v xml:space="preserve"> </v>
      </c>
      <c r="V88" s="25" t="str">
        <f t="shared" si="8"/>
        <v xml:space="preserve"> </v>
      </c>
    </row>
    <row r="89" spans="1:22" ht="13.5" thickBot="1" x14ac:dyDescent="0.25">
      <c r="A89" s="42">
        <v>28729</v>
      </c>
      <c r="B89" s="77" t="s">
        <v>17</v>
      </c>
      <c r="C89" s="10">
        <v>35000</v>
      </c>
      <c r="D89" s="5">
        <v>25269</v>
      </c>
      <c r="E89" s="5">
        <v>9731</v>
      </c>
      <c r="F89" s="10"/>
      <c r="G89" s="5"/>
      <c r="H89" s="5"/>
      <c r="I89" s="10"/>
      <c r="J89" s="5"/>
      <c r="K89" s="5"/>
      <c r="L89" s="10"/>
      <c r="M89" s="5"/>
      <c r="N89" s="5"/>
      <c r="O89" s="10">
        <f t="shared" si="10"/>
        <v>9731</v>
      </c>
      <c r="P89" s="97">
        <f t="shared" si="7"/>
        <v>0.38508112386228732</v>
      </c>
      <c r="Q89" s="120" t="str">
        <f t="shared" si="6"/>
        <v xml:space="preserve"> </v>
      </c>
      <c r="R89" s="121" t="str">
        <f>IF($C$4="High Inventory",IF(AND(O89&gt;=Summary!$C$106,P89&gt;=Summary!$C$107),"X"," "),IF(AND(O89&lt;=-Summary!$C$106,P89&lt;=-Summary!$C$107),"X"," "))</f>
        <v>X</v>
      </c>
      <c r="S89" s="23" t="str">
        <f>IF(AND(L89-I89&gt;=Summary!$C$110,N89-K89&gt;Summary!$C$110,N89&gt;0),"X"," ")</f>
        <v xml:space="preserve"> </v>
      </c>
      <c r="T89" s="127" t="str">
        <f>IF($C$4="High Inventory",IF(AND($O89&gt;=Summary!$C$106,$P89&gt;=0%),"X"," "),IF(AND($O89&lt;=-Summary!$C$106,$P89&lt;=0%),"X"," "))</f>
        <v>X</v>
      </c>
      <c r="U89" s="23" t="str">
        <f>IF($C$4="High Inventory",IF(AND($O89&gt;=0,$P89&gt;=Summary!$C$107),"X"," "),IF(AND($O89&lt;=0,$P89&lt;=-Summary!$C$107),"X"," "))</f>
        <v>X</v>
      </c>
      <c r="V89" s="25" t="str">
        <f t="shared" si="8"/>
        <v xml:space="preserve"> </v>
      </c>
    </row>
    <row r="90" spans="1:22" x14ac:dyDescent="0.2">
      <c r="A90" s="2" t="s">
        <v>18</v>
      </c>
      <c r="E90" s="3">
        <f>SUM(E10:E89)</f>
        <v>162108</v>
      </c>
      <c r="H90" s="3">
        <f>SUM(H10:H89)</f>
        <v>-8944</v>
      </c>
      <c r="K90" s="3">
        <f>SUM(K10:K89)</f>
        <v>15277</v>
      </c>
      <c r="M90" s="3">
        <f>SUM(M10:M89)</f>
        <v>1833875</v>
      </c>
      <c r="N90" s="3">
        <f>SUM(N10:N89)</f>
        <v>171571</v>
      </c>
      <c r="P90" s="1"/>
      <c r="Q90" s="2">
        <f>COUNTIF(Q8:Q89,"X")</f>
        <v>5</v>
      </c>
      <c r="R90" s="2">
        <f>COUNTIF(R8:R89,"X")</f>
        <v>6</v>
      </c>
      <c r="S90" s="2">
        <f>COUNTIF(S8:S89,"X")</f>
        <v>6</v>
      </c>
      <c r="T90" s="2">
        <f>COUNTIF(T8:T89,"X")</f>
        <v>7</v>
      </c>
      <c r="U90" s="2">
        <f>COUNTIF(U8:U89,"X")</f>
        <v>13</v>
      </c>
      <c r="V90">
        <f>SUM(V$58:V$89)+SUM(V$31:V$53)+SUM(V$10:V$26)</f>
        <v>192811</v>
      </c>
    </row>
    <row r="91" spans="1:22" x14ac:dyDescent="0.2">
      <c r="M91" s="115" t="s">
        <v>57</v>
      </c>
      <c r="N91" s="116">
        <f>N90/M90</f>
        <v>9.3556540113148387E-2</v>
      </c>
      <c r="P91" s="1"/>
      <c r="R91" s="2"/>
      <c r="S91" s="2" t="str">
        <f>IF(AND(L91-I91&gt;=5000,N91-K91&gt;5000,N91&gt;0),"X"," ")</f>
        <v xml:space="preserve"> </v>
      </c>
      <c r="V91" t="str">
        <f>IF(S91 = "X",L91-I91," ")</f>
        <v xml:space="preserve"> </v>
      </c>
    </row>
    <row r="92" spans="1:22" x14ac:dyDescent="0.2">
      <c r="P92" s="1"/>
      <c r="R92" s="2"/>
      <c r="S92" s="2" t="str">
        <f>IF(AND(L92-I92&gt;=5000,N92-K92&gt;5000,N92&gt;0),"X"," ")</f>
        <v xml:space="preserve"> </v>
      </c>
      <c r="V92" t="str">
        <f>IF(S92 = "X",L92-I92," ")</f>
        <v xml:space="preserve"> </v>
      </c>
    </row>
  </sheetData>
  <mergeCells count="1">
    <mergeCell ref="R6:S6"/>
  </mergeCells>
  <pageMargins left="0.25" right="0.25" top="0.69" bottom="0.88" header="0.48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5546875" defaultRowHeight="12.75" x14ac:dyDescent="0.2"/>
  <cols>
    <col min="1" max="1" width="9.42578125" style="43" customWidth="1"/>
    <col min="2" max="2" width="10" style="43" customWidth="1"/>
    <col min="3" max="19" width="10" customWidth="1"/>
    <col min="20" max="22" width="10" hidden="1" customWidth="1"/>
    <col min="23" max="26" width="10" customWidth="1"/>
    <col min="27" max="252" width="9.140625" customWidth="1"/>
  </cols>
  <sheetData>
    <row r="1" spans="1:22" ht="18" x14ac:dyDescent="0.25">
      <c r="A1" s="80" t="s">
        <v>45</v>
      </c>
    </row>
    <row r="2" spans="1:22" ht="20.25" customHeight="1" x14ac:dyDescent="0.2">
      <c r="A2" s="113" t="s">
        <v>24</v>
      </c>
    </row>
    <row r="3" spans="1:22" ht="15.75" x14ac:dyDescent="0.25">
      <c r="A3" s="81" t="s">
        <v>25</v>
      </c>
      <c r="C3" s="20">
        <f>L8</f>
        <v>36681</v>
      </c>
      <c r="D3" s="19"/>
    </row>
    <row r="4" spans="1:22" ht="15.75" x14ac:dyDescent="0.25">
      <c r="A4" s="81" t="s">
        <v>26</v>
      </c>
      <c r="C4" s="4" t="s">
        <v>27</v>
      </c>
      <c r="E4" s="4" t="s">
        <v>64</v>
      </c>
    </row>
    <row r="5" spans="1:22" ht="16.5" thickBot="1" x14ac:dyDescent="0.3">
      <c r="A5" s="81" t="s">
        <v>28</v>
      </c>
      <c r="C5" s="4" t="s">
        <v>42</v>
      </c>
    </row>
    <row r="6" spans="1:22" ht="21.75" customHeight="1" thickBot="1" x14ac:dyDescent="0.25">
      <c r="A6" s="117"/>
      <c r="R6" s="221" t="s">
        <v>55</v>
      </c>
      <c r="S6" s="222"/>
    </row>
    <row r="7" spans="1:22" s="85" customFormat="1" ht="54" customHeight="1" thickBot="1" x14ac:dyDescent="0.25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5" customHeight="1" thickBot="1" x14ac:dyDescent="0.25">
      <c r="A8" s="78"/>
      <c r="B8" s="79"/>
      <c r="C8" s="73">
        <v>36678</v>
      </c>
      <c r="D8" s="74"/>
      <c r="E8" s="75" t="str">
        <f>TEXT(WEEKDAY(C8),"dddd")</f>
        <v>Thursday</v>
      </c>
      <c r="F8" s="73">
        <v>36679</v>
      </c>
      <c r="G8" s="74"/>
      <c r="H8" s="75" t="str">
        <f>TEXT(WEEKDAY(F8),"dddd")</f>
        <v>Friday</v>
      </c>
      <c r="I8" s="73">
        <v>36680</v>
      </c>
      <c r="J8" s="74"/>
      <c r="K8" s="75" t="str">
        <f>TEXT(WEEKDAY(I8),"dddd")</f>
        <v>Saturday</v>
      </c>
      <c r="L8" s="73">
        <v>36681</v>
      </c>
      <c r="M8" s="74"/>
      <c r="N8" s="75" t="str">
        <f>TEXT(WEEKDAY(L8),"dddd")</f>
        <v>Sunday</v>
      </c>
      <c r="O8" s="71"/>
      <c r="P8" s="75"/>
      <c r="Q8" s="128"/>
      <c r="R8" s="129"/>
      <c r="S8" s="156">
        <f>Summary!$C$110</f>
        <v>5000</v>
      </c>
      <c r="T8" s="128"/>
      <c r="U8" s="130"/>
    </row>
    <row r="9" spans="1:22" ht="51" hidden="1" x14ac:dyDescent="0.2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>K9+H9+E9</f>
        <v>#VALUE!</v>
      </c>
      <c r="P9" s="5"/>
      <c r="Q9" s="118"/>
      <c r="R9" s="119"/>
    </row>
    <row r="10" spans="1:22" x14ac:dyDescent="0.2">
      <c r="A10" s="42">
        <v>1117</v>
      </c>
      <c r="B10" s="77" t="s">
        <v>8</v>
      </c>
      <c r="C10" s="10">
        <v>167</v>
      </c>
      <c r="D10" s="5">
        <v>234</v>
      </c>
      <c r="E10" s="5">
        <v>-67</v>
      </c>
      <c r="F10" s="10">
        <v>167</v>
      </c>
      <c r="G10" s="5">
        <v>227</v>
      </c>
      <c r="H10" s="5">
        <v>-60</v>
      </c>
      <c r="I10" s="10">
        <v>167</v>
      </c>
      <c r="J10" s="5">
        <v>212</v>
      </c>
      <c r="K10" s="5">
        <v>-45</v>
      </c>
      <c r="L10" s="10">
        <v>0</v>
      </c>
      <c r="M10" s="5">
        <v>232</v>
      </c>
      <c r="N10" s="5">
        <v>-232</v>
      </c>
      <c r="O10" s="10">
        <f t="shared" ref="O10:O55" si="0">K10+H10+E10</f>
        <v>-172</v>
      </c>
      <c r="P10" s="97">
        <f t="shared" ref="P10:P55" si="1">O10/(J10+G10+D10+1)</f>
        <v>-0.25519287833827892</v>
      </c>
      <c r="Q10" s="134" t="str">
        <f t="shared" ref="Q10:Q26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">
      <c r="A11" s="42">
        <v>1126</v>
      </c>
      <c r="B11" s="77" t="s">
        <v>8</v>
      </c>
      <c r="C11" s="10">
        <v>0</v>
      </c>
      <c r="D11" s="5">
        <v>74</v>
      </c>
      <c r="E11" s="5">
        <v>-74</v>
      </c>
      <c r="F11" s="10">
        <v>0</v>
      </c>
      <c r="G11" s="5">
        <v>71</v>
      </c>
      <c r="H11" s="5">
        <v>-71</v>
      </c>
      <c r="I11" s="10">
        <v>0</v>
      </c>
      <c r="J11" s="5">
        <v>67</v>
      </c>
      <c r="K11" s="5">
        <v>-67</v>
      </c>
      <c r="L11" s="10">
        <v>0</v>
      </c>
      <c r="M11" s="5">
        <v>73</v>
      </c>
      <c r="N11" s="5">
        <v>-73</v>
      </c>
      <c r="O11" s="10">
        <f t="shared" si="0"/>
        <v>-212</v>
      </c>
      <c r="P11" s="97">
        <f t="shared" si="1"/>
        <v>-0.99530516431924887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">
      <c r="A12" s="42">
        <v>1157</v>
      </c>
      <c r="B12" s="77" t="s">
        <v>8</v>
      </c>
      <c r="C12" s="10">
        <v>100</v>
      </c>
      <c r="D12" s="5">
        <v>110</v>
      </c>
      <c r="E12" s="5">
        <v>-10</v>
      </c>
      <c r="F12" s="10">
        <v>100</v>
      </c>
      <c r="G12" s="5">
        <v>107</v>
      </c>
      <c r="H12" s="5">
        <v>-7</v>
      </c>
      <c r="I12" s="10">
        <v>100</v>
      </c>
      <c r="J12" s="5">
        <v>100</v>
      </c>
      <c r="K12" s="5">
        <v>0</v>
      </c>
      <c r="L12" s="10">
        <v>100</v>
      </c>
      <c r="M12" s="5">
        <v>109</v>
      </c>
      <c r="N12" s="5">
        <v>-9</v>
      </c>
      <c r="O12" s="10">
        <f t="shared" si="0"/>
        <v>-17</v>
      </c>
      <c r="P12" s="97">
        <f t="shared" si="1"/>
        <v>-5.3459119496855348E-2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">
      <c r="A13" s="42">
        <v>1780</v>
      </c>
      <c r="B13" s="77" t="s">
        <v>8</v>
      </c>
      <c r="C13" s="10">
        <v>1000</v>
      </c>
      <c r="D13" s="5">
        <v>1052</v>
      </c>
      <c r="E13" s="5">
        <v>-52</v>
      </c>
      <c r="F13" s="10">
        <v>1000</v>
      </c>
      <c r="G13" s="5">
        <v>1021</v>
      </c>
      <c r="H13" s="5">
        <v>-21</v>
      </c>
      <c r="I13" s="10">
        <v>940</v>
      </c>
      <c r="J13" s="5">
        <v>954</v>
      </c>
      <c r="K13" s="5">
        <v>-14</v>
      </c>
      <c r="L13" s="10">
        <v>940</v>
      </c>
      <c r="M13" s="5">
        <v>1043</v>
      </c>
      <c r="N13" s="5">
        <v>-103</v>
      </c>
      <c r="O13" s="10">
        <f t="shared" si="0"/>
        <v>-87</v>
      </c>
      <c r="P13" s="97">
        <f t="shared" si="1"/>
        <v>-2.8731836195508585E-2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">
      <c r="A14" s="42">
        <v>2280</v>
      </c>
      <c r="B14" s="77" t="s">
        <v>8</v>
      </c>
      <c r="C14" s="10">
        <v>681</v>
      </c>
      <c r="D14" s="5">
        <v>846</v>
      </c>
      <c r="E14" s="5">
        <v>-165</v>
      </c>
      <c r="F14" s="10">
        <v>681</v>
      </c>
      <c r="G14" s="5">
        <v>821</v>
      </c>
      <c r="H14" s="5">
        <v>-140</v>
      </c>
      <c r="I14" s="10">
        <v>681</v>
      </c>
      <c r="J14" s="5">
        <v>767</v>
      </c>
      <c r="K14" s="5">
        <v>-86</v>
      </c>
      <c r="L14" s="10">
        <v>681</v>
      </c>
      <c r="M14" s="5">
        <v>838</v>
      </c>
      <c r="N14" s="5">
        <v>-157</v>
      </c>
      <c r="O14" s="10">
        <f t="shared" si="0"/>
        <v>-391</v>
      </c>
      <c r="P14" s="97">
        <f t="shared" si="1"/>
        <v>-0.16057494866529773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3"/>
        <v xml:space="preserve"> </v>
      </c>
    </row>
    <row r="15" spans="1:22" x14ac:dyDescent="0.2">
      <c r="A15" s="42">
        <v>2584</v>
      </c>
      <c r="B15" s="77" t="s">
        <v>8</v>
      </c>
      <c r="C15" s="10">
        <v>3225</v>
      </c>
      <c r="D15" s="5">
        <v>3284</v>
      </c>
      <c r="E15" s="5">
        <v>-59</v>
      </c>
      <c r="F15" s="10">
        <v>3225</v>
      </c>
      <c r="G15" s="5">
        <v>3185</v>
      </c>
      <c r="H15" s="5">
        <v>40</v>
      </c>
      <c r="I15" s="10">
        <v>3000</v>
      </c>
      <c r="J15" s="5">
        <v>2976</v>
      </c>
      <c r="K15" s="5">
        <v>24</v>
      </c>
      <c r="L15" s="10">
        <v>3000</v>
      </c>
      <c r="M15" s="5">
        <v>3257</v>
      </c>
      <c r="N15" s="5">
        <v>-257</v>
      </c>
      <c r="O15" s="10">
        <f t="shared" si="0"/>
        <v>5</v>
      </c>
      <c r="P15" s="97">
        <f t="shared" si="1"/>
        <v>5.293245818335803E-4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 xml:space="preserve"> </v>
      </c>
      <c r="V15" t="str">
        <f t="shared" si="3"/>
        <v xml:space="preserve"> </v>
      </c>
    </row>
    <row r="16" spans="1:22" x14ac:dyDescent="0.2">
      <c r="A16" s="42">
        <v>2771</v>
      </c>
      <c r="B16" s="77" t="s">
        <v>8</v>
      </c>
      <c r="C16" s="10">
        <v>0</v>
      </c>
      <c r="D16" s="5">
        <v>6442</v>
      </c>
      <c r="E16" s="5">
        <v>-6442</v>
      </c>
      <c r="F16" s="10">
        <v>3417</v>
      </c>
      <c r="G16" s="5">
        <v>6218</v>
      </c>
      <c r="H16" s="5">
        <v>-2801</v>
      </c>
      <c r="I16" s="10">
        <v>9256</v>
      </c>
      <c r="J16" s="5">
        <v>5818</v>
      </c>
      <c r="K16" s="5">
        <v>3438</v>
      </c>
      <c r="L16" s="10">
        <v>18373</v>
      </c>
      <c r="M16" s="5">
        <v>6350</v>
      </c>
      <c r="N16" s="5">
        <v>12023</v>
      </c>
      <c r="O16" s="10">
        <f t="shared" si="0"/>
        <v>-5805</v>
      </c>
      <c r="P16" s="97">
        <f t="shared" si="1"/>
        <v>-0.31414037556144814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>X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>
        <f t="shared" si="3"/>
        <v>9117</v>
      </c>
    </row>
    <row r="17" spans="1:22" x14ac:dyDescent="0.2">
      <c r="A17" s="42">
        <v>2832</v>
      </c>
      <c r="B17" s="77" t="s">
        <v>8</v>
      </c>
      <c r="C17" s="10">
        <v>500</v>
      </c>
      <c r="D17" s="5">
        <v>993</v>
      </c>
      <c r="E17" s="5">
        <v>-493</v>
      </c>
      <c r="F17" s="10">
        <v>1421</v>
      </c>
      <c r="G17" s="5">
        <v>963</v>
      </c>
      <c r="H17" s="5">
        <v>458</v>
      </c>
      <c r="I17" s="10">
        <v>500</v>
      </c>
      <c r="J17" s="5">
        <v>900</v>
      </c>
      <c r="K17" s="5">
        <v>-400</v>
      </c>
      <c r="L17" s="10">
        <v>500</v>
      </c>
      <c r="M17" s="5">
        <v>985</v>
      </c>
      <c r="N17" s="5">
        <v>-485</v>
      </c>
      <c r="O17" s="10">
        <f t="shared" si="0"/>
        <v>-435</v>
      </c>
      <c r="P17" s="97">
        <f t="shared" si="1"/>
        <v>-0.15225761288064404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">
      <c r="A18" s="42">
        <v>2892</v>
      </c>
      <c r="B18" s="77" t="s">
        <v>8</v>
      </c>
      <c r="C18" s="10">
        <v>4825</v>
      </c>
      <c r="D18" s="5">
        <v>4932</v>
      </c>
      <c r="E18" s="5">
        <v>-107</v>
      </c>
      <c r="F18" s="10">
        <v>4747</v>
      </c>
      <c r="G18" s="5">
        <v>4779</v>
      </c>
      <c r="H18" s="5">
        <v>-32</v>
      </c>
      <c r="I18" s="10">
        <v>4827</v>
      </c>
      <c r="J18" s="5">
        <v>4466</v>
      </c>
      <c r="K18" s="5">
        <v>361</v>
      </c>
      <c r="L18" s="10">
        <v>4824</v>
      </c>
      <c r="M18" s="5">
        <v>4885</v>
      </c>
      <c r="N18" s="5">
        <v>-61</v>
      </c>
      <c r="O18" s="10">
        <f t="shared" si="0"/>
        <v>222</v>
      </c>
      <c r="P18" s="97">
        <f t="shared" si="1"/>
        <v>1.5658061785865426E-2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3"/>
        <v xml:space="preserve"> </v>
      </c>
    </row>
    <row r="19" spans="1:22" x14ac:dyDescent="0.2">
      <c r="A19" s="42">
        <v>2939</v>
      </c>
      <c r="B19" s="77" t="s">
        <v>8</v>
      </c>
      <c r="C19" s="10">
        <v>1002</v>
      </c>
      <c r="D19" s="5">
        <v>248</v>
      </c>
      <c r="E19" s="5">
        <v>754</v>
      </c>
      <c r="F19" s="10">
        <v>1002</v>
      </c>
      <c r="G19" s="5">
        <v>241</v>
      </c>
      <c r="H19" s="5">
        <v>761</v>
      </c>
      <c r="I19" s="10">
        <v>652</v>
      </c>
      <c r="J19" s="5">
        <v>225</v>
      </c>
      <c r="K19" s="5">
        <v>427</v>
      </c>
      <c r="L19" s="10">
        <v>652</v>
      </c>
      <c r="M19" s="5">
        <v>245</v>
      </c>
      <c r="N19" s="5">
        <v>407</v>
      </c>
      <c r="O19" s="10">
        <f t="shared" si="0"/>
        <v>1942</v>
      </c>
      <c r="P19" s="97">
        <f t="shared" si="1"/>
        <v>2.7160839160839161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>X</v>
      </c>
      <c r="V19" t="str">
        <f t="shared" si="3"/>
        <v xml:space="preserve"> </v>
      </c>
    </row>
    <row r="20" spans="1:22" x14ac:dyDescent="0.2">
      <c r="A20" s="42">
        <v>3152</v>
      </c>
      <c r="B20" s="77" t="s">
        <v>8</v>
      </c>
      <c r="C20" s="10">
        <v>4917</v>
      </c>
      <c r="D20" s="5">
        <v>4731</v>
      </c>
      <c r="E20" s="5">
        <v>186</v>
      </c>
      <c r="F20" s="10">
        <v>4917</v>
      </c>
      <c r="G20" s="5">
        <v>4527</v>
      </c>
      <c r="H20" s="5">
        <v>390</v>
      </c>
      <c r="I20" s="10">
        <v>4200</v>
      </c>
      <c r="J20" s="5">
        <v>4245</v>
      </c>
      <c r="K20" s="5">
        <v>-45</v>
      </c>
      <c r="L20" s="10">
        <v>4200</v>
      </c>
      <c r="M20" s="5">
        <v>4613</v>
      </c>
      <c r="N20" s="5">
        <v>-413</v>
      </c>
      <c r="O20" s="10">
        <f t="shared" si="0"/>
        <v>531</v>
      </c>
      <c r="P20" s="97">
        <f t="shared" si="1"/>
        <v>3.9321682464454978E-2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t="str">
        <f t="shared" si="3"/>
        <v xml:space="preserve"> </v>
      </c>
    </row>
    <row r="21" spans="1:22" x14ac:dyDescent="0.2">
      <c r="A21" s="42">
        <v>4303</v>
      </c>
      <c r="B21" s="77" t="s">
        <v>8</v>
      </c>
      <c r="C21" s="10">
        <v>1685</v>
      </c>
      <c r="D21" s="5">
        <v>2569</v>
      </c>
      <c r="E21" s="5">
        <v>-884</v>
      </c>
      <c r="F21" s="10">
        <v>2108</v>
      </c>
      <c r="G21" s="5">
        <v>2493</v>
      </c>
      <c r="H21" s="5">
        <v>-385</v>
      </c>
      <c r="I21" s="10">
        <v>2181</v>
      </c>
      <c r="J21" s="5">
        <v>2329</v>
      </c>
      <c r="K21" s="5">
        <v>-148</v>
      </c>
      <c r="L21" s="10">
        <v>2108</v>
      </c>
      <c r="M21" s="5">
        <v>2550</v>
      </c>
      <c r="N21" s="5">
        <v>-442</v>
      </c>
      <c r="O21" s="10">
        <f t="shared" si="0"/>
        <v>-1417</v>
      </c>
      <c r="P21" s="97">
        <f t="shared" si="1"/>
        <v>-0.19169372294372294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3"/>
        <v xml:space="preserve"> </v>
      </c>
    </row>
    <row r="22" spans="1:22" x14ac:dyDescent="0.2">
      <c r="A22" s="42">
        <v>6500</v>
      </c>
      <c r="B22" s="77" t="s">
        <v>8</v>
      </c>
      <c r="C22" s="10">
        <v>492278</v>
      </c>
      <c r="D22" s="5">
        <v>490244</v>
      </c>
      <c r="E22" s="5">
        <v>2034</v>
      </c>
      <c r="F22" s="10">
        <v>442402</v>
      </c>
      <c r="G22" s="5">
        <v>474388</v>
      </c>
      <c r="H22" s="5">
        <v>-31986</v>
      </c>
      <c r="I22" s="10">
        <v>481600</v>
      </c>
      <c r="J22" s="5">
        <v>443552</v>
      </c>
      <c r="K22" s="5">
        <v>38048</v>
      </c>
      <c r="L22" s="10">
        <v>504799</v>
      </c>
      <c r="M22" s="5">
        <v>484814</v>
      </c>
      <c r="N22" s="5">
        <v>19985</v>
      </c>
      <c r="O22" s="10">
        <f t="shared" si="0"/>
        <v>8096</v>
      </c>
      <c r="P22" s="97">
        <f t="shared" si="1"/>
        <v>5.7492445949928455E-3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">
      <c r="A23" s="42">
        <v>10656</v>
      </c>
      <c r="B23" s="77" t="s">
        <v>8</v>
      </c>
      <c r="C23" s="10">
        <v>235</v>
      </c>
      <c r="D23" s="5">
        <v>211</v>
      </c>
      <c r="E23" s="5">
        <v>24</v>
      </c>
      <c r="F23" s="10">
        <v>235</v>
      </c>
      <c r="G23" s="5">
        <v>205</v>
      </c>
      <c r="H23" s="5">
        <v>30</v>
      </c>
      <c r="I23" s="10">
        <v>235</v>
      </c>
      <c r="J23" s="5">
        <v>190</v>
      </c>
      <c r="K23" s="5">
        <v>45</v>
      </c>
      <c r="L23" s="10">
        <v>0</v>
      </c>
      <c r="M23" s="5">
        <v>209</v>
      </c>
      <c r="N23" s="5">
        <v>-209</v>
      </c>
      <c r="O23" s="10">
        <f t="shared" si="0"/>
        <v>99</v>
      </c>
      <c r="P23" s="97">
        <f t="shared" si="1"/>
        <v>0.1630971993410214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>X</v>
      </c>
      <c r="V23" t="str">
        <f t="shared" si="3"/>
        <v xml:space="preserve"> </v>
      </c>
    </row>
    <row r="24" spans="1:22" x14ac:dyDescent="0.2">
      <c r="A24" s="42">
        <v>12296</v>
      </c>
      <c r="B24" s="77" t="s">
        <v>8</v>
      </c>
      <c r="C24" s="10">
        <v>2600</v>
      </c>
      <c r="D24" s="5">
        <v>2712</v>
      </c>
      <c r="E24" s="5">
        <v>-112</v>
      </c>
      <c r="F24" s="10">
        <v>2600</v>
      </c>
      <c r="G24" s="5">
        <v>2632</v>
      </c>
      <c r="H24" s="5">
        <v>-32</v>
      </c>
      <c r="I24" s="10">
        <v>2600</v>
      </c>
      <c r="J24" s="5">
        <v>2458</v>
      </c>
      <c r="K24" s="5">
        <v>142</v>
      </c>
      <c r="L24" s="10">
        <v>2600</v>
      </c>
      <c r="M24" s="5">
        <v>2691</v>
      </c>
      <c r="N24" s="5">
        <v>-91</v>
      </c>
      <c r="O24" s="10">
        <f t="shared" si="0"/>
        <v>-2</v>
      </c>
      <c r="P24" s="97">
        <f t="shared" si="1"/>
        <v>-2.5631167499679609E-4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">
      <c r="A25" s="42">
        <v>16786</v>
      </c>
      <c r="B25" s="77" t="s">
        <v>8</v>
      </c>
      <c r="C25" s="10">
        <v>3462</v>
      </c>
      <c r="D25" s="5">
        <v>3841</v>
      </c>
      <c r="E25" s="5">
        <v>-379</v>
      </c>
      <c r="F25" s="10">
        <v>2808</v>
      </c>
      <c r="G25" s="5">
        <v>3720</v>
      </c>
      <c r="H25" s="5">
        <v>-912</v>
      </c>
      <c r="I25" s="10">
        <v>3175</v>
      </c>
      <c r="J25" s="5">
        <v>3477</v>
      </c>
      <c r="K25" s="5">
        <v>-302</v>
      </c>
      <c r="L25" s="10">
        <v>3175</v>
      </c>
      <c r="M25" s="5">
        <v>3803</v>
      </c>
      <c r="N25" s="5">
        <v>-628</v>
      </c>
      <c r="O25" s="10">
        <f t="shared" si="0"/>
        <v>-1593</v>
      </c>
      <c r="P25" s="97">
        <f t="shared" si="1"/>
        <v>-0.14430654950629587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">
      <c r="A26" s="42">
        <v>17791</v>
      </c>
      <c r="B26" s="77" t="s">
        <v>8</v>
      </c>
      <c r="C26" s="10">
        <v>150</v>
      </c>
      <c r="D26" s="5">
        <v>238</v>
      </c>
      <c r="E26" s="5">
        <v>-88</v>
      </c>
      <c r="F26" s="10">
        <v>150</v>
      </c>
      <c r="G26" s="5">
        <v>231</v>
      </c>
      <c r="H26" s="5">
        <v>-81</v>
      </c>
      <c r="I26" s="10">
        <v>200</v>
      </c>
      <c r="J26" s="5">
        <v>215</v>
      </c>
      <c r="K26" s="5">
        <v>-15</v>
      </c>
      <c r="L26" s="10">
        <v>200</v>
      </c>
      <c r="M26" s="5">
        <v>235</v>
      </c>
      <c r="N26" s="5">
        <v>-35</v>
      </c>
      <c r="O26" s="10">
        <f t="shared" si="0"/>
        <v>-184</v>
      </c>
      <c r="P26" s="97">
        <f t="shared" si="1"/>
        <v>-0.2686131386861314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7"/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">
      <c r="A28" s="42"/>
      <c r="B28" s="77"/>
      <c r="C28" s="15">
        <v>36678</v>
      </c>
      <c r="D28" s="5"/>
      <c r="E28" s="5"/>
      <c r="F28" s="15">
        <v>36679</v>
      </c>
      <c r="G28" s="5"/>
      <c r="H28" s="5"/>
      <c r="I28" s="15">
        <v>36680</v>
      </c>
      <c r="J28" s="5"/>
      <c r="K28" s="5"/>
      <c r="L28" s="15">
        <v>36681</v>
      </c>
      <c r="M28" s="5"/>
      <c r="N28" s="5"/>
      <c r="O28" s="10">
        <f>K28+H28+E28</f>
        <v>0</v>
      </c>
      <c r="P28" s="97">
        <f>O28/(J28+G28+D28+1)</f>
        <v>0</v>
      </c>
      <c r="Q28" s="17"/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">
      <c r="A29" s="42" t="s">
        <v>13</v>
      </c>
      <c r="B29" s="77" t="s">
        <v>14</v>
      </c>
      <c r="C29" s="15" t="s">
        <v>37</v>
      </c>
      <c r="D29" s="5" t="s">
        <v>40</v>
      </c>
      <c r="E29" s="5" t="s">
        <v>41</v>
      </c>
      <c r="F29" s="15" t="s">
        <v>37</v>
      </c>
      <c r="G29" s="5" t="s">
        <v>40</v>
      </c>
      <c r="H29" s="5" t="s">
        <v>41</v>
      </c>
      <c r="I29" s="15" t="s">
        <v>37</v>
      </c>
      <c r="J29" s="5" t="s">
        <v>40</v>
      </c>
      <c r="K29" s="5" t="s">
        <v>41</v>
      </c>
      <c r="L29" s="15" t="s">
        <v>37</v>
      </c>
      <c r="M29" s="5" t="s">
        <v>40</v>
      </c>
      <c r="N29" s="5" t="s">
        <v>41</v>
      </c>
      <c r="O29" s="10" t="e">
        <f>K29+H29+E29</f>
        <v>#VALUE!</v>
      </c>
      <c r="P29" s="97" t="e">
        <f>O29/(J29+G29+D29+1)</f>
        <v>#VALUE!</v>
      </c>
      <c r="Q29" s="132"/>
      <c r="R29" s="91" t="e">
        <f>IF($C$4="High Inventory",IF(AND(O29&gt;=Summary!$C$106,P29&gt;=Summary!$C$107),"X"," "),IF(AND(O29&lt;=-Summary!$C$106,P29&lt;=-Summary!$C$107),"X"," "))</f>
        <v>#VALUE!</v>
      </c>
      <c r="S29" s="21" t="e">
        <f>IF(AND(L29-I29&gt;=Summary!$C$110,N29-K29&gt;Summary!$C$110,N29&gt;0),"X"," ")</f>
        <v>#VALUE!</v>
      </c>
      <c r="T29" s="17" t="e">
        <f>IF($C$4="High Inventory",IF(AND($O29&gt;=Summary!$C$106,$P29&gt;=0%),"X"," "),IF(AND($O29&lt;=-Summary!$C$106,$P29&lt;=0%),"X"," "))</f>
        <v>#VALUE!</v>
      </c>
      <c r="U29" s="21" t="e">
        <f>IF($C$4="High Inventory",IF(AND($O29&gt;=0,$P29&gt;=Summary!$C$107),"X"," "),IF(AND($O29&lt;=0,$P29&lt;=-Summary!$C$107),"X"," "))</f>
        <v>#VALUE!</v>
      </c>
      <c r="V29" t="e">
        <f t="shared" si="3"/>
        <v>#VALUE!</v>
      </c>
    </row>
    <row r="30" spans="1:22" x14ac:dyDescent="0.2">
      <c r="A30" s="42">
        <v>1117</v>
      </c>
      <c r="B30" s="77" t="s">
        <v>15</v>
      </c>
      <c r="C30" s="10">
        <v>96409</v>
      </c>
      <c r="D30" s="5">
        <v>74767</v>
      </c>
      <c r="E30" s="5">
        <v>21642</v>
      </c>
      <c r="F30" s="10">
        <v>68688</v>
      </c>
      <c r="G30" s="5">
        <v>71633</v>
      </c>
      <c r="H30" s="5">
        <v>-2945</v>
      </c>
      <c r="I30" s="10">
        <v>99427</v>
      </c>
      <c r="J30" s="5">
        <v>56327</v>
      </c>
      <c r="K30" s="5">
        <v>43100</v>
      </c>
      <c r="L30" s="10">
        <v>61542</v>
      </c>
      <c r="M30" s="5">
        <v>52671</v>
      </c>
      <c r="N30" s="5">
        <v>8871</v>
      </c>
      <c r="O30" s="10">
        <f t="shared" si="0"/>
        <v>61797</v>
      </c>
      <c r="P30" s="97">
        <f t="shared" si="1"/>
        <v>0.3048271575707352</v>
      </c>
      <c r="Q30" s="17" t="s">
        <v>44</v>
      </c>
      <c r="R30" s="91" t="str">
        <f>IF($C$4="High Inventory",IF(AND(O30&gt;=Summary!$C$106,P30&gt;=Summary!$C$107),"X"," "),IF(AND(O30&lt;=-Summary!$C$106,P30&lt;=-Summary!$C$107),"X"," "))</f>
        <v>X</v>
      </c>
      <c r="S30" s="21" t="str">
        <f>IF(AND(L30-I30&gt;=Summary!$C$110,N30-K30&gt;Summary!$C$110,N30&gt;0),"X"," ")</f>
        <v xml:space="preserve"> </v>
      </c>
      <c r="T30" s="17" t="str">
        <f>IF($C$4="High Inventory",IF(AND($O30&gt;=Summary!$C$106,$P30&gt;=0%),"X"," "),IF(AND($O30&lt;=-Summary!$C$106,$P30&lt;=0%),"X"," "))</f>
        <v>X</v>
      </c>
      <c r="U30" s="21" t="str">
        <f>IF($C$4="High Inventory",IF(AND($O30&gt;=0,$P30&gt;=Summary!$C$107),"X"," "),IF(AND($O30&lt;=0,$P30&lt;=-Summary!$C$107),"X"," "))</f>
        <v>X</v>
      </c>
      <c r="V30" t="str">
        <f t="shared" si="3"/>
        <v xml:space="preserve"> </v>
      </c>
    </row>
    <row r="31" spans="1:22" x14ac:dyDescent="0.2">
      <c r="A31" s="42">
        <v>1126</v>
      </c>
      <c r="B31" s="77" t="s">
        <v>15</v>
      </c>
      <c r="C31" s="10">
        <v>26557</v>
      </c>
      <c r="D31" s="5">
        <v>29309</v>
      </c>
      <c r="E31" s="5">
        <v>-2752</v>
      </c>
      <c r="F31" s="10">
        <v>27918</v>
      </c>
      <c r="G31" s="5">
        <v>28592</v>
      </c>
      <c r="H31" s="5">
        <v>-674</v>
      </c>
      <c r="I31" s="10">
        <v>27918</v>
      </c>
      <c r="J31" s="5">
        <v>25300</v>
      </c>
      <c r="K31" s="5">
        <v>2618</v>
      </c>
      <c r="L31" s="10">
        <v>27918</v>
      </c>
      <c r="M31" s="5">
        <v>24882</v>
      </c>
      <c r="N31" s="5">
        <v>3036</v>
      </c>
      <c r="O31" s="10">
        <f t="shared" si="0"/>
        <v>-808</v>
      </c>
      <c r="P31" s="97">
        <f t="shared" si="1"/>
        <v>-9.711305016706329E-3</v>
      </c>
      <c r="Q31" s="17" t="s">
        <v>44</v>
      </c>
      <c r="R31" s="91" t="str">
        <f>IF($C$4="High Inventory",IF(AND(O31&gt;=Summary!$C$106,P31&gt;=Summary!$C$107),"X"," "),IF(AND(O31&lt;=-Summary!$C$106,P31&lt;=-Summary!$C$107),"X"," "))</f>
        <v xml:space="preserve"> 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 xml:space="preserve"> </v>
      </c>
      <c r="U31" s="21" t="str">
        <f>IF($C$4="High Inventory",IF(AND($O31&gt;=0,$P31&gt;=Summary!$C$107),"X"," "),IF(AND($O31&lt;=0,$P31&lt;=-Summary!$C$107),"X"," "))</f>
        <v xml:space="preserve"> </v>
      </c>
      <c r="V31" t="str">
        <f t="shared" si="3"/>
        <v xml:space="preserve"> </v>
      </c>
    </row>
    <row r="32" spans="1:22" x14ac:dyDescent="0.2">
      <c r="A32" s="42">
        <v>1157</v>
      </c>
      <c r="B32" s="77" t="s">
        <v>15</v>
      </c>
      <c r="C32" s="10">
        <v>123260</v>
      </c>
      <c r="D32" s="5">
        <v>101570</v>
      </c>
      <c r="E32" s="5">
        <v>21690</v>
      </c>
      <c r="F32" s="10">
        <v>97255</v>
      </c>
      <c r="G32" s="5">
        <v>104513</v>
      </c>
      <c r="H32" s="5">
        <v>-7258</v>
      </c>
      <c r="I32" s="10">
        <v>99714</v>
      </c>
      <c r="J32" s="5">
        <v>76918</v>
      </c>
      <c r="K32" s="5">
        <v>22796</v>
      </c>
      <c r="L32" s="10">
        <v>79397</v>
      </c>
      <c r="M32" s="5">
        <v>73832</v>
      </c>
      <c r="N32" s="5">
        <v>5565</v>
      </c>
      <c r="O32" s="10">
        <f t="shared" si="0"/>
        <v>37228</v>
      </c>
      <c r="P32" s="97">
        <f t="shared" si="1"/>
        <v>0.13154677352103519</v>
      </c>
      <c r="Q32" s="17" t="s">
        <v>44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">
      <c r="A33" s="42">
        <v>1281</v>
      </c>
      <c r="B33" s="77" t="s">
        <v>15</v>
      </c>
      <c r="C33" s="10">
        <v>29027</v>
      </c>
      <c r="D33" s="5">
        <v>20531</v>
      </c>
      <c r="E33" s="5">
        <v>8496</v>
      </c>
      <c r="F33" s="10">
        <v>9691</v>
      </c>
      <c r="G33" s="5">
        <v>21598</v>
      </c>
      <c r="H33" s="5">
        <v>-11907</v>
      </c>
      <c r="I33" s="10">
        <v>75151</v>
      </c>
      <c r="J33" s="5">
        <v>10536</v>
      </c>
      <c r="K33" s="5">
        <v>64615</v>
      </c>
      <c r="L33" s="10">
        <v>75410</v>
      </c>
      <c r="M33" s="5">
        <v>9603</v>
      </c>
      <c r="N33" s="5">
        <v>65807</v>
      </c>
      <c r="O33" s="10">
        <f t="shared" si="0"/>
        <v>61204</v>
      </c>
      <c r="P33" s="97">
        <f t="shared" si="1"/>
        <v>1.1621159761515969</v>
      </c>
      <c r="Q33" s="101" t="str">
        <f t="shared" ref="Q33:Q39" si="4">" "</f>
        <v xml:space="preserve"> 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3"/>
        <v xml:space="preserve"> </v>
      </c>
    </row>
    <row r="34" spans="1:22" x14ac:dyDescent="0.2">
      <c r="A34" s="42">
        <v>1340</v>
      </c>
      <c r="B34" s="77" t="s">
        <v>15</v>
      </c>
      <c r="C34" s="10">
        <v>6818</v>
      </c>
      <c r="D34" s="5">
        <v>5747</v>
      </c>
      <c r="E34" s="5">
        <v>1071</v>
      </c>
      <c r="F34" s="10">
        <v>5854</v>
      </c>
      <c r="G34" s="5">
        <v>5965</v>
      </c>
      <c r="H34" s="5">
        <v>-111</v>
      </c>
      <c r="I34" s="10">
        <v>6818</v>
      </c>
      <c r="J34" s="5">
        <v>5012</v>
      </c>
      <c r="K34" s="5">
        <v>1806</v>
      </c>
      <c r="L34" s="10">
        <v>6818</v>
      </c>
      <c r="M34" s="5">
        <v>4672</v>
      </c>
      <c r="N34" s="5">
        <v>2146</v>
      </c>
      <c r="O34" s="10">
        <f t="shared" si="0"/>
        <v>2766</v>
      </c>
      <c r="P34" s="97">
        <f t="shared" si="1"/>
        <v>0.16538116591928251</v>
      </c>
      <c r="Q34" s="101" t="str">
        <f t="shared" si="4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>X</v>
      </c>
      <c r="V34" t="str">
        <f t="shared" si="3"/>
        <v xml:space="preserve"> </v>
      </c>
    </row>
    <row r="35" spans="1:22" x14ac:dyDescent="0.2">
      <c r="A35" s="42">
        <v>1377</v>
      </c>
      <c r="B35" s="77" t="s">
        <v>15</v>
      </c>
      <c r="C35" s="10">
        <v>105757</v>
      </c>
      <c r="D35" s="5">
        <v>85939</v>
      </c>
      <c r="E35" s="5">
        <v>19818</v>
      </c>
      <c r="F35" s="10">
        <v>66689</v>
      </c>
      <c r="G35" s="5">
        <v>91207</v>
      </c>
      <c r="H35" s="5">
        <v>-24518</v>
      </c>
      <c r="I35" s="10">
        <v>79633</v>
      </c>
      <c r="J35" s="5">
        <v>89912</v>
      </c>
      <c r="K35" s="5">
        <v>-10279</v>
      </c>
      <c r="L35" s="10">
        <v>78632</v>
      </c>
      <c r="M35" s="5">
        <v>93456</v>
      </c>
      <c r="N35" s="5">
        <v>-14824</v>
      </c>
      <c r="O35" s="10">
        <f t="shared" si="0"/>
        <v>-14979</v>
      </c>
      <c r="P35" s="97">
        <f t="shared" si="1"/>
        <v>-5.6088729456786703E-2</v>
      </c>
      <c r="Q35" s="101" t="str">
        <f t="shared" si="4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3"/>
        <v xml:space="preserve"> </v>
      </c>
    </row>
    <row r="36" spans="1:22" x14ac:dyDescent="0.2">
      <c r="A36" s="42">
        <v>1830</v>
      </c>
      <c r="B36" s="77" t="s">
        <v>15</v>
      </c>
      <c r="C36" s="10">
        <v>0</v>
      </c>
      <c r="D36" s="5">
        <v>2</v>
      </c>
      <c r="E36" s="5">
        <v>-2</v>
      </c>
      <c r="F36" s="10">
        <v>0</v>
      </c>
      <c r="G36" s="5">
        <v>1</v>
      </c>
      <c r="H36" s="5">
        <v>-1</v>
      </c>
      <c r="I36" s="10">
        <v>0</v>
      </c>
      <c r="J36" s="5">
        <v>1</v>
      </c>
      <c r="K36" s="5">
        <v>-1</v>
      </c>
      <c r="L36" s="10">
        <v>0</v>
      </c>
      <c r="M36" s="5">
        <v>1</v>
      </c>
      <c r="N36" s="5">
        <v>-1</v>
      </c>
      <c r="O36" s="10">
        <f t="shared" si="0"/>
        <v>-4</v>
      </c>
      <c r="P36" s="97">
        <f t="shared" si="1"/>
        <v>-0.8</v>
      </c>
      <c r="Q36" s="101" t="str">
        <f t="shared" si="4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 xml:space="preserve"> </v>
      </c>
      <c r="U36" s="21" t="str">
        <f>IF($C$4="High Inventory",IF(AND($O36&gt;=0,$P36&gt;=Summary!$C$107),"X"," "),IF(AND($O36&lt;=0,$P36&lt;=-Summary!$C$107),"X"," "))</f>
        <v xml:space="preserve"> </v>
      </c>
      <c r="V36" t="str">
        <f t="shared" si="3"/>
        <v xml:space="preserve"> </v>
      </c>
    </row>
    <row r="37" spans="1:22" x14ac:dyDescent="0.2">
      <c r="A37" s="42">
        <v>1864</v>
      </c>
      <c r="B37" s="77" t="s">
        <v>15</v>
      </c>
      <c r="C37" s="10">
        <v>438713</v>
      </c>
      <c r="D37" s="5">
        <v>447517</v>
      </c>
      <c r="E37" s="5">
        <v>-8804</v>
      </c>
      <c r="F37" s="10">
        <v>507662</v>
      </c>
      <c r="G37" s="5">
        <v>427018</v>
      </c>
      <c r="H37" s="5">
        <v>80644</v>
      </c>
      <c r="I37" s="10">
        <v>417472</v>
      </c>
      <c r="J37" s="5">
        <v>400034</v>
      </c>
      <c r="K37" s="5">
        <v>17438</v>
      </c>
      <c r="L37" s="10">
        <v>435280</v>
      </c>
      <c r="M37" s="5">
        <v>391471</v>
      </c>
      <c r="N37" s="5">
        <v>43809</v>
      </c>
      <c r="O37" s="10">
        <f t="shared" si="0"/>
        <v>89278</v>
      </c>
      <c r="P37" s="97">
        <f t="shared" si="1"/>
        <v>7.0045584000878722E-2</v>
      </c>
      <c r="Q37" s="101" t="str">
        <f t="shared" si="4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>X</v>
      </c>
      <c r="T37" s="17" t="str">
        <f>IF($C$4="High Inventory",IF(AND($O37&gt;=Summary!$C$106,$P37&gt;=0%),"X"," "),IF(AND($O37&lt;=-Summary!$C$106,$P37&lt;=0%),"X"," "))</f>
        <v>X</v>
      </c>
      <c r="U37" s="21" t="str">
        <f>IF($C$4="High Inventory",IF(AND($O37&gt;=0,$P37&gt;=Summary!$C$107),"X"," "),IF(AND($O37&lt;=0,$P37&lt;=-Summary!$C$107),"X"," "))</f>
        <v xml:space="preserve"> </v>
      </c>
      <c r="V37">
        <f t="shared" si="3"/>
        <v>17808</v>
      </c>
    </row>
    <row r="38" spans="1:22" x14ac:dyDescent="0.2">
      <c r="A38" s="42">
        <v>1922</v>
      </c>
      <c r="B38" s="77" t="s">
        <v>15</v>
      </c>
      <c r="C38" s="10">
        <v>55572</v>
      </c>
      <c r="D38" s="5">
        <v>55823</v>
      </c>
      <c r="E38" s="5">
        <v>-251</v>
      </c>
      <c r="F38" s="10">
        <v>21161</v>
      </c>
      <c r="G38" s="5">
        <v>54664</v>
      </c>
      <c r="H38" s="5">
        <v>-33503</v>
      </c>
      <c r="I38" s="10">
        <v>50922</v>
      </c>
      <c r="J38" s="5">
        <v>45662</v>
      </c>
      <c r="K38" s="5">
        <v>5260</v>
      </c>
      <c r="L38" s="10">
        <v>41259</v>
      </c>
      <c r="M38" s="5">
        <v>43805</v>
      </c>
      <c r="N38" s="5">
        <v>-2546</v>
      </c>
      <c r="O38" s="10">
        <f t="shared" si="0"/>
        <v>-28494</v>
      </c>
      <c r="P38" s="97">
        <f t="shared" si="1"/>
        <v>-0.18247838616714698</v>
      </c>
      <c r="Q38" s="101" t="str">
        <f t="shared" si="4"/>
        <v xml:space="preserve"> 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 xml:space="preserve"> </v>
      </c>
      <c r="U38" s="21" t="str">
        <f>IF($C$4="High Inventory",IF(AND($O38&gt;=0,$P38&gt;=Summary!$C$107),"X"," "),IF(AND($O38&lt;=0,$P38&lt;=-Summary!$C$107),"X"," "))</f>
        <v xml:space="preserve"> </v>
      </c>
      <c r="V38" t="str">
        <f t="shared" si="3"/>
        <v xml:space="preserve"> </v>
      </c>
    </row>
    <row r="39" spans="1:22" x14ac:dyDescent="0.2">
      <c r="A39" s="42">
        <v>1928</v>
      </c>
      <c r="B39" s="77" t="s">
        <v>15</v>
      </c>
      <c r="C39" s="10">
        <v>15906</v>
      </c>
      <c r="D39" s="5">
        <v>13413</v>
      </c>
      <c r="E39" s="5">
        <v>2493</v>
      </c>
      <c r="F39" s="10">
        <v>15635</v>
      </c>
      <c r="G39" s="5">
        <v>17830</v>
      </c>
      <c r="H39" s="5">
        <v>-2195</v>
      </c>
      <c r="I39" s="10">
        <v>16102</v>
      </c>
      <c r="J39" s="5">
        <v>14807</v>
      </c>
      <c r="K39" s="5">
        <v>1295</v>
      </c>
      <c r="L39" s="10">
        <v>15092</v>
      </c>
      <c r="M39" s="5">
        <v>13876</v>
      </c>
      <c r="N39" s="5">
        <v>1216</v>
      </c>
      <c r="O39" s="10">
        <f t="shared" si="0"/>
        <v>1593</v>
      </c>
      <c r="P39" s="97">
        <f t="shared" si="1"/>
        <v>3.4592082690929622E-2</v>
      </c>
      <c r="Q39" s="101" t="str">
        <f t="shared" si="4"/>
        <v xml:space="preserve"> </v>
      </c>
      <c r="R39" s="91" t="str">
        <f>IF($C$4="High Inventory",IF(AND(O39&gt;=Summary!$C$106,P39&gt;=Summary!$C$107),"X"," "),IF(AND(O39&lt;=-Summary!$C$106,P39&lt;=-Summary!$C$107),"X"," "))</f>
        <v xml:space="preserve"> 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 xml:space="preserve"> </v>
      </c>
      <c r="U39" s="21" t="str">
        <f>IF($C$4="High Inventory",IF(AND($O39&gt;=0,$P39&gt;=Summary!$C$107),"X"," "),IF(AND($O39&lt;=0,$P39&lt;=-Summary!$C$107),"X"," "))</f>
        <v xml:space="preserve"> </v>
      </c>
      <c r="V39" t="str">
        <f t="shared" si="3"/>
        <v xml:space="preserve"> </v>
      </c>
    </row>
    <row r="40" spans="1:22" x14ac:dyDescent="0.2">
      <c r="A40" s="42">
        <v>2056</v>
      </c>
      <c r="B40" s="77" t="s">
        <v>15</v>
      </c>
      <c r="C40" s="10">
        <v>59423</v>
      </c>
      <c r="D40" s="5">
        <v>61625</v>
      </c>
      <c r="E40" s="5">
        <v>-2202</v>
      </c>
      <c r="F40" s="10">
        <v>59968</v>
      </c>
      <c r="G40" s="5">
        <v>65972</v>
      </c>
      <c r="H40" s="5">
        <v>-6004</v>
      </c>
      <c r="I40" s="10">
        <v>61969</v>
      </c>
      <c r="J40" s="5">
        <v>62786</v>
      </c>
      <c r="K40" s="5">
        <v>-817</v>
      </c>
      <c r="L40" s="10">
        <v>61969</v>
      </c>
      <c r="M40" s="5">
        <v>63419</v>
      </c>
      <c r="N40" s="5">
        <v>-1450</v>
      </c>
      <c r="O40" s="10">
        <f t="shared" si="0"/>
        <v>-9023</v>
      </c>
      <c r="P40" s="97">
        <f t="shared" si="1"/>
        <v>-4.7393688545255906E-2</v>
      </c>
      <c r="Q40" s="17" t="s">
        <v>44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">
      <c r="A41" s="42">
        <v>2280</v>
      </c>
      <c r="B41" s="77" t="s">
        <v>15</v>
      </c>
      <c r="C41" s="10">
        <v>7900</v>
      </c>
      <c r="D41" s="5">
        <v>10839</v>
      </c>
      <c r="E41" s="5">
        <v>-2939</v>
      </c>
      <c r="F41" s="10">
        <v>7900</v>
      </c>
      <c r="G41" s="5">
        <v>10233</v>
      </c>
      <c r="H41" s="5">
        <v>-2333</v>
      </c>
      <c r="I41" s="10">
        <v>7900</v>
      </c>
      <c r="J41" s="5">
        <v>5701</v>
      </c>
      <c r="K41" s="5">
        <v>2199</v>
      </c>
      <c r="L41" s="10">
        <v>7900</v>
      </c>
      <c r="M41" s="5">
        <v>5159</v>
      </c>
      <c r="N41" s="5">
        <v>2741</v>
      </c>
      <c r="O41" s="10">
        <f t="shared" si="0"/>
        <v>-3073</v>
      </c>
      <c r="P41" s="97">
        <f t="shared" si="1"/>
        <v>-0.11477552849779638</v>
      </c>
      <c r="Q41" s="101" t="str">
        <f>" "</f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">
      <c r="A42" s="42">
        <v>2584</v>
      </c>
      <c r="B42" s="77" t="s">
        <v>15</v>
      </c>
      <c r="C42" s="10">
        <v>43047</v>
      </c>
      <c r="D42" s="5">
        <v>61990</v>
      </c>
      <c r="E42" s="5">
        <v>-18943</v>
      </c>
      <c r="F42" s="10">
        <v>46600</v>
      </c>
      <c r="G42" s="5">
        <v>64817</v>
      </c>
      <c r="H42" s="5">
        <v>-18217</v>
      </c>
      <c r="I42" s="10">
        <v>45858</v>
      </c>
      <c r="J42" s="5">
        <v>52656</v>
      </c>
      <c r="K42" s="5">
        <v>-6798</v>
      </c>
      <c r="L42" s="10">
        <v>45858</v>
      </c>
      <c r="M42" s="5">
        <v>46909</v>
      </c>
      <c r="N42" s="5">
        <v>-1051</v>
      </c>
      <c r="O42" s="10">
        <f t="shared" si="0"/>
        <v>-43958</v>
      </c>
      <c r="P42" s="97">
        <f t="shared" si="1"/>
        <v>-0.24494048945749566</v>
      </c>
      <c r="Q42" s="101" t="str">
        <f>" "</f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5">IF(S42 = "X",L42-I42," ")</f>
        <v xml:space="preserve"> </v>
      </c>
    </row>
    <row r="43" spans="1:22" x14ac:dyDescent="0.2">
      <c r="A43" s="42">
        <v>2771</v>
      </c>
      <c r="B43" s="77" t="s">
        <v>15</v>
      </c>
      <c r="C43" s="10">
        <v>36653</v>
      </c>
      <c r="D43" s="5">
        <v>34508</v>
      </c>
      <c r="E43" s="5">
        <v>2145</v>
      </c>
      <c r="F43" s="10">
        <v>42049</v>
      </c>
      <c r="G43" s="5">
        <v>33887</v>
      </c>
      <c r="H43" s="5">
        <v>8162</v>
      </c>
      <c r="I43" s="10">
        <v>21475</v>
      </c>
      <c r="J43" s="5">
        <v>21383</v>
      </c>
      <c r="K43" s="5">
        <v>92</v>
      </c>
      <c r="L43" s="10">
        <v>12053</v>
      </c>
      <c r="M43" s="5">
        <v>20569</v>
      </c>
      <c r="N43" s="5">
        <v>-8516</v>
      </c>
      <c r="O43" s="10">
        <f t="shared" si="0"/>
        <v>10399</v>
      </c>
      <c r="P43" s="97">
        <f t="shared" si="1"/>
        <v>0.11582886866639192</v>
      </c>
      <c r="Q43" s="17" t="s">
        <v>44</v>
      </c>
      <c r="R43" s="91" t="str">
        <f>IF($C$4="High Inventory",IF(AND(O43&gt;=Summary!$C$106,P43&gt;=Summary!$C$107),"X"," "),IF(AND(O43&lt;=-Summary!$C$106,P43&lt;=-Summary!$C$107),"X"," "))</f>
        <v>X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>X</v>
      </c>
      <c r="U43" s="21" t="str">
        <f>IF($C$4="High Inventory",IF(AND($O43&gt;=0,$P43&gt;=Summary!$C$107),"X"," "),IF(AND($O43&lt;=0,$P43&lt;=-Summary!$C$107),"X"," "))</f>
        <v>X</v>
      </c>
      <c r="V43" t="str">
        <f t="shared" si="5"/>
        <v xml:space="preserve"> </v>
      </c>
    </row>
    <row r="44" spans="1:22" x14ac:dyDescent="0.2">
      <c r="A44" s="42">
        <v>2832</v>
      </c>
      <c r="B44" s="77" t="s">
        <v>15</v>
      </c>
      <c r="C44" s="10">
        <v>5893</v>
      </c>
      <c r="D44" s="5">
        <v>3550</v>
      </c>
      <c r="E44" s="5">
        <v>2343</v>
      </c>
      <c r="F44" s="10">
        <v>5896</v>
      </c>
      <c r="G44" s="5">
        <v>3420</v>
      </c>
      <c r="H44" s="5">
        <v>2476</v>
      </c>
      <c r="I44" s="10">
        <v>7123</v>
      </c>
      <c r="J44" s="5">
        <v>2840</v>
      </c>
      <c r="K44" s="5">
        <v>4283</v>
      </c>
      <c r="L44" s="10">
        <v>7124</v>
      </c>
      <c r="M44" s="5">
        <v>2842</v>
      </c>
      <c r="N44" s="5">
        <v>4282</v>
      </c>
      <c r="O44" s="10">
        <f t="shared" si="0"/>
        <v>9102</v>
      </c>
      <c r="P44" s="97">
        <f t="shared" si="1"/>
        <v>0.9277341759249822</v>
      </c>
      <c r="Q44" s="101" t="str">
        <f t="shared" ref="Q44:Q75" si="6">" "</f>
        <v xml:space="preserve"> 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5"/>
        <v xml:space="preserve"> </v>
      </c>
    </row>
    <row r="45" spans="1:22" x14ac:dyDescent="0.2">
      <c r="A45" s="42">
        <v>2892</v>
      </c>
      <c r="B45" s="77" t="s">
        <v>15</v>
      </c>
      <c r="C45" s="10">
        <v>170</v>
      </c>
      <c r="D45" s="5">
        <v>189</v>
      </c>
      <c r="E45" s="5">
        <v>-19</v>
      </c>
      <c r="F45" s="10">
        <v>167</v>
      </c>
      <c r="G45" s="5">
        <v>212</v>
      </c>
      <c r="H45" s="5">
        <v>-45</v>
      </c>
      <c r="I45" s="10">
        <v>170</v>
      </c>
      <c r="J45" s="5">
        <v>216</v>
      </c>
      <c r="K45" s="5">
        <v>-46</v>
      </c>
      <c r="L45" s="10">
        <v>170</v>
      </c>
      <c r="M45" s="5">
        <v>228</v>
      </c>
      <c r="N45" s="5">
        <v>-58</v>
      </c>
      <c r="O45" s="10">
        <f t="shared" si="0"/>
        <v>-110</v>
      </c>
      <c r="P45" s="97">
        <f t="shared" si="1"/>
        <v>-0.17799352750809061</v>
      </c>
      <c r="Q45" s="101" t="str">
        <f t="shared" si="6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5"/>
        <v xml:space="preserve"> </v>
      </c>
    </row>
    <row r="46" spans="1:22" x14ac:dyDescent="0.2">
      <c r="A46" s="42">
        <v>3015</v>
      </c>
      <c r="B46" s="77" t="s">
        <v>15</v>
      </c>
      <c r="C46" s="10">
        <v>22561</v>
      </c>
      <c r="D46" s="5">
        <v>21060</v>
      </c>
      <c r="E46" s="5">
        <v>1501</v>
      </c>
      <c r="F46" s="10">
        <v>21586</v>
      </c>
      <c r="G46" s="5">
        <v>21298</v>
      </c>
      <c r="H46" s="5">
        <v>288</v>
      </c>
      <c r="I46" s="10">
        <v>23030</v>
      </c>
      <c r="J46" s="5">
        <v>19647</v>
      </c>
      <c r="K46" s="5">
        <v>3383</v>
      </c>
      <c r="L46" s="10">
        <v>23030</v>
      </c>
      <c r="M46" s="5">
        <v>19295</v>
      </c>
      <c r="N46" s="5">
        <v>3735</v>
      </c>
      <c r="O46" s="10">
        <f t="shared" si="0"/>
        <v>5172</v>
      </c>
      <c r="P46" s="97">
        <f t="shared" si="1"/>
        <v>8.3411282779085896E-2</v>
      </c>
      <c r="Q46" s="101" t="str">
        <f t="shared" si="6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>X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5"/>
        <v xml:space="preserve"> </v>
      </c>
    </row>
    <row r="47" spans="1:22" x14ac:dyDescent="0.2">
      <c r="A47" s="42">
        <v>4303</v>
      </c>
      <c r="B47" s="77" t="s">
        <v>15</v>
      </c>
      <c r="C47" s="10">
        <v>2827</v>
      </c>
      <c r="D47" s="5">
        <v>3533</v>
      </c>
      <c r="E47" s="5">
        <v>-706</v>
      </c>
      <c r="F47" s="10">
        <v>2827</v>
      </c>
      <c r="G47" s="5">
        <v>3243</v>
      </c>
      <c r="H47" s="5">
        <v>-416</v>
      </c>
      <c r="I47" s="10">
        <v>2754</v>
      </c>
      <c r="J47" s="5">
        <v>2502</v>
      </c>
      <c r="K47" s="5">
        <v>252</v>
      </c>
      <c r="L47" s="10">
        <v>2827</v>
      </c>
      <c r="M47" s="5">
        <v>2084</v>
      </c>
      <c r="N47" s="5">
        <v>743</v>
      </c>
      <c r="O47" s="10">
        <f t="shared" si="0"/>
        <v>-870</v>
      </c>
      <c r="P47" s="97">
        <f t="shared" si="1"/>
        <v>-9.376010345942451E-2</v>
      </c>
      <c r="Q47" s="101" t="str">
        <f t="shared" si="6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5"/>
        <v xml:space="preserve"> </v>
      </c>
    </row>
    <row r="48" spans="1:22" x14ac:dyDescent="0.2">
      <c r="A48" s="42">
        <v>4438</v>
      </c>
      <c r="B48" s="77" t="s">
        <v>15</v>
      </c>
      <c r="C48" s="10">
        <v>59904</v>
      </c>
      <c r="D48" s="5">
        <v>62046</v>
      </c>
      <c r="E48" s="5">
        <v>-2142</v>
      </c>
      <c r="F48" s="10">
        <v>59911</v>
      </c>
      <c r="G48" s="5">
        <v>61792</v>
      </c>
      <c r="H48" s="5">
        <v>-1881</v>
      </c>
      <c r="I48" s="10">
        <v>58289</v>
      </c>
      <c r="J48" s="5">
        <v>59860</v>
      </c>
      <c r="K48" s="5">
        <v>-1571</v>
      </c>
      <c r="L48" s="10">
        <v>58289</v>
      </c>
      <c r="M48" s="5">
        <v>55470</v>
      </c>
      <c r="N48" s="5">
        <v>2819</v>
      </c>
      <c r="O48" s="10">
        <f t="shared" si="0"/>
        <v>-5594</v>
      </c>
      <c r="P48" s="97">
        <f t="shared" si="1"/>
        <v>-3.0451989395696221E-2</v>
      </c>
      <c r="Q48" s="101" t="str">
        <f t="shared" si="6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5"/>
        <v xml:space="preserve"> </v>
      </c>
    </row>
    <row r="49" spans="1:22" x14ac:dyDescent="0.2">
      <c r="A49" s="42">
        <v>4760</v>
      </c>
      <c r="B49" s="77" t="s">
        <v>15</v>
      </c>
      <c r="C49" s="10">
        <v>255448</v>
      </c>
      <c r="D49" s="5">
        <v>315987</v>
      </c>
      <c r="E49" s="5">
        <v>-60539</v>
      </c>
      <c r="F49" s="10">
        <v>337375</v>
      </c>
      <c r="G49" s="5">
        <v>267905</v>
      </c>
      <c r="H49" s="5">
        <v>69470</v>
      </c>
      <c r="I49" s="10">
        <v>215771</v>
      </c>
      <c r="J49" s="5">
        <v>267596</v>
      </c>
      <c r="K49" s="5">
        <v>-51825</v>
      </c>
      <c r="L49" s="10">
        <v>235256</v>
      </c>
      <c r="M49" s="5">
        <v>220966</v>
      </c>
      <c r="N49" s="5">
        <v>14290</v>
      </c>
      <c r="O49" s="10">
        <f t="shared" si="0"/>
        <v>-42894</v>
      </c>
      <c r="P49" s="97">
        <f t="shared" si="1"/>
        <v>-5.0375283767611793E-2</v>
      </c>
      <c r="Q49" s="101" t="str">
        <f t="shared" si="6"/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>X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>
        <f t="shared" si="5"/>
        <v>19485</v>
      </c>
    </row>
    <row r="50" spans="1:22" x14ac:dyDescent="0.2">
      <c r="A50" s="42">
        <v>6084</v>
      </c>
      <c r="B50" s="77" t="s">
        <v>15</v>
      </c>
      <c r="C50" s="10">
        <v>0</v>
      </c>
      <c r="D50" s="5">
        <v>24</v>
      </c>
      <c r="E50" s="5">
        <v>-24</v>
      </c>
      <c r="F50" s="10">
        <v>0</v>
      </c>
      <c r="G50" s="5">
        <v>21</v>
      </c>
      <c r="H50" s="5">
        <v>-21</v>
      </c>
      <c r="I50" s="10">
        <v>0</v>
      </c>
      <c r="J50" s="5">
        <v>17</v>
      </c>
      <c r="K50" s="5">
        <v>-17</v>
      </c>
      <c r="L50" s="10">
        <v>0</v>
      </c>
      <c r="M50" s="5">
        <v>7</v>
      </c>
      <c r="N50" s="5">
        <v>-7</v>
      </c>
      <c r="O50" s="10">
        <f t="shared" si="0"/>
        <v>-62</v>
      </c>
      <c r="P50" s="97">
        <f t="shared" si="1"/>
        <v>-0.98412698412698407</v>
      </c>
      <c r="Q50" s="101" t="str">
        <f t="shared" si="6"/>
        <v xml:space="preserve"> 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5"/>
        <v xml:space="preserve"> </v>
      </c>
    </row>
    <row r="51" spans="1:22" x14ac:dyDescent="0.2">
      <c r="A51" s="42">
        <v>6728</v>
      </c>
      <c r="B51" s="77" t="s">
        <v>15</v>
      </c>
      <c r="C51" s="10">
        <v>12000</v>
      </c>
      <c r="D51" s="5">
        <v>10747</v>
      </c>
      <c r="E51" s="5">
        <v>1253</v>
      </c>
      <c r="F51" s="10">
        <v>12000</v>
      </c>
      <c r="G51" s="5">
        <v>10956</v>
      </c>
      <c r="H51" s="5">
        <v>1044</v>
      </c>
      <c r="I51" s="10">
        <v>12000</v>
      </c>
      <c r="J51" s="5">
        <v>10627</v>
      </c>
      <c r="K51" s="5">
        <v>1373</v>
      </c>
      <c r="L51" s="10">
        <v>12000</v>
      </c>
      <c r="M51" s="5">
        <v>10467</v>
      </c>
      <c r="N51" s="5">
        <v>1533</v>
      </c>
      <c r="O51" s="10">
        <f t="shared" si="0"/>
        <v>3670</v>
      </c>
      <c r="P51" s="97">
        <f t="shared" si="1"/>
        <v>0.11351334632396153</v>
      </c>
      <c r="Q51" s="101" t="str">
        <f t="shared" si="6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>X</v>
      </c>
      <c r="V51" t="str">
        <f t="shared" si="5"/>
        <v xml:space="preserve"> </v>
      </c>
    </row>
    <row r="52" spans="1:22" x14ac:dyDescent="0.2">
      <c r="A52" s="42">
        <v>12296</v>
      </c>
      <c r="B52" s="77" t="s">
        <v>15</v>
      </c>
      <c r="C52" s="10">
        <v>28231</v>
      </c>
      <c r="D52" s="5">
        <v>28476</v>
      </c>
      <c r="E52" s="5">
        <v>-245</v>
      </c>
      <c r="F52" s="10">
        <v>28231</v>
      </c>
      <c r="G52" s="5">
        <v>28481</v>
      </c>
      <c r="H52" s="5">
        <v>-250</v>
      </c>
      <c r="I52" s="10">
        <v>28231</v>
      </c>
      <c r="J52" s="5">
        <v>25473</v>
      </c>
      <c r="K52" s="5">
        <v>2758</v>
      </c>
      <c r="L52" s="10">
        <v>30715</v>
      </c>
      <c r="M52" s="5">
        <v>24699</v>
      </c>
      <c r="N52" s="5">
        <v>6016</v>
      </c>
      <c r="O52" s="10">
        <f t="shared" si="0"/>
        <v>2263</v>
      </c>
      <c r="P52" s="97">
        <f t="shared" si="1"/>
        <v>2.7453263941963582E-2</v>
      </c>
      <c r="Q52" s="101" t="str">
        <f t="shared" si="6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t="str">
        <f t="shared" si="5"/>
        <v xml:space="preserve"> </v>
      </c>
    </row>
    <row r="53" spans="1:22" hidden="1" x14ac:dyDescent="0.2">
      <c r="A53" s="42"/>
      <c r="B53" s="77"/>
      <c r="C53" s="10"/>
      <c r="D53" s="5"/>
      <c r="E53" s="5"/>
      <c r="F53" s="10"/>
      <c r="G53" s="5"/>
      <c r="H53" s="5"/>
      <c r="I53" s="10"/>
      <c r="J53" s="5"/>
      <c r="K53" s="5"/>
      <c r="L53" s="10"/>
      <c r="M53" s="5"/>
      <c r="N53" s="5"/>
      <c r="O53" s="10">
        <f t="shared" si="0"/>
        <v>0</v>
      </c>
      <c r="P53" s="97">
        <f t="shared" si="1"/>
        <v>0</v>
      </c>
      <c r="Q53" s="101" t="str">
        <f t="shared" si="6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5"/>
        <v xml:space="preserve"> </v>
      </c>
    </row>
    <row r="54" spans="1:22" hidden="1" x14ac:dyDescent="0.2">
      <c r="A54" s="42"/>
      <c r="B54" s="77"/>
      <c r="C54" s="15">
        <v>36678</v>
      </c>
      <c r="D54" s="5"/>
      <c r="E54" s="5"/>
      <c r="F54" s="15">
        <v>36679</v>
      </c>
      <c r="G54" s="5"/>
      <c r="H54" s="5"/>
      <c r="I54" s="15">
        <v>36680</v>
      </c>
      <c r="J54" s="5"/>
      <c r="K54" s="5"/>
      <c r="L54" s="15">
        <v>36681</v>
      </c>
      <c r="M54" s="5"/>
      <c r="N54" s="5"/>
      <c r="O54" s="10">
        <f t="shared" si="0"/>
        <v>0</v>
      </c>
      <c r="P54" s="97">
        <f t="shared" si="1"/>
        <v>0</v>
      </c>
      <c r="Q54" s="101" t="str">
        <f t="shared" si="6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5"/>
        <v xml:space="preserve"> </v>
      </c>
    </row>
    <row r="55" spans="1:22" hidden="1" x14ac:dyDescent="0.2">
      <c r="A55" s="42" t="s">
        <v>6</v>
      </c>
      <c r="B55" s="77" t="s">
        <v>7</v>
      </c>
      <c r="C55" s="10" t="s">
        <v>37</v>
      </c>
      <c r="D55" s="5" t="s">
        <v>40</v>
      </c>
      <c r="E55" s="5" t="s">
        <v>41</v>
      </c>
      <c r="F55" s="10" t="s">
        <v>37</v>
      </c>
      <c r="G55" s="5" t="s">
        <v>40</v>
      </c>
      <c r="H55" s="5" t="s">
        <v>41</v>
      </c>
      <c r="I55" s="10" t="s">
        <v>37</v>
      </c>
      <c r="J55" s="5" t="s">
        <v>40</v>
      </c>
      <c r="K55" s="5" t="s">
        <v>41</v>
      </c>
      <c r="L55" s="10" t="s">
        <v>37</v>
      </c>
      <c r="M55" s="5" t="s">
        <v>40</v>
      </c>
      <c r="N55" s="5" t="s">
        <v>41</v>
      </c>
      <c r="O55" s="10" t="e">
        <f t="shared" si="0"/>
        <v>#VALUE!</v>
      </c>
      <c r="P55" s="97" t="e">
        <f t="shared" si="1"/>
        <v>#VALUE!</v>
      </c>
      <c r="Q55" s="101" t="str">
        <f t="shared" si="6"/>
        <v xml:space="preserve"> </v>
      </c>
      <c r="R55" s="91" t="e">
        <f>IF($C$4="High Inventory",IF(AND(O55&gt;=Summary!$C$106,P55&gt;=Summary!$C$107),"X"," "),IF(AND(O55&lt;=-Summary!$C$106,P55&lt;=-Summary!$C$107),"X"," "))</f>
        <v>#VALUE!</v>
      </c>
      <c r="S55" s="21" t="e">
        <f>IF(AND(L55-I55&gt;=Summary!$C$110,N55-K55&gt;Summary!$C$110,N55&gt;0),"X"," ")</f>
        <v>#VALUE!</v>
      </c>
      <c r="T55" s="17" t="e">
        <f>IF($C$4="High Inventory",IF(AND($O55&gt;=Summary!$C$106,$P55&gt;=0%),"X"," "),IF(AND($O55&lt;=-Summary!$C$106,$P55&lt;=0%),"X"," "))</f>
        <v>#VALUE!</v>
      </c>
      <c r="U55" s="21" t="e">
        <f>IF($C$4="High Inventory",IF(AND($O55&gt;=0,$P55&gt;=Summary!$C$107),"X"," "),IF(AND($O55&lt;=0,$P55&lt;=-Summary!$C$107),"X"," "))</f>
        <v>#VALUE!</v>
      </c>
      <c r="V55" t="e">
        <f t="shared" si="5"/>
        <v>#VALUE!</v>
      </c>
    </row>
    <row r="56" spans="1:22" s="25" customFormat="1" x14ac:dyDescent="0.2">
      <c r="A56" s="42">
        <v>51</v>
      </c>
      <c r="B56" s="77" t="s">
        <v>17</v>
      </c>
      <c r="C56" s="10">
        <v>12123</v>
      </c>
      <c r="D56" s="5">
        <v>9376</v>
      </c>
      <c r="E56" s="5">
        <v>2747</v>
      </c>
      <c r="F56" s="10">
        <v>12123</v>
      </c>
      <c r="G56" s="5">
        <v>10136</v>
      </c>
      <c r="H56" s="5">
        <v>1987</v>
      </c>
      <c r="I56" s="10">
        <v>12123</v>
      </c>
      <c r="J56" s="5">
        <v>7316</v>
      </c>
      <c r="K56" s="5">
        <v>4807</v>
      </c>
      <c r="L56" s="10">
        <v>12123</v>
      </c>
      <c r="M56" s="5">
        <v>6845</v>
      </c>
      <c r="N56" s="5">
        <v>5278</v>
      </c>
      <c r="O56" s="10">
        <f t="shared" ref="O56:O73" si="7">K56+H56+E56</f>
        <v>9541</v>
      </c>
      <c r="P56" s="97">
        <f t="shared" ref="P56:P73" si="8">O56/(J56+G56+D56+1)</f>
        <v>0.35562264713556224</v>
      </c>
      <c r="Q56" s="101" t="str">
        <f t="shared" si="6"/>
        <v xml:space="preserve"> </v>
      </c>
      <c r="R56" s="91" t="str">
        <f>IF($C$4="High Inventory",IF(AND(O56&gt;=Summary!$C$106,P56&gt;=Summary!$C$107),"X"," "),IF(AND(O56&lt;=-Summary!$C$106,P56&lt;=-Summary!$C$107),"X"," "))</f>
        <v>X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>X</v>
      </c>
      <c r="U56" s="21" t="str">
        <f>IF($C$4="High Inventory",IF(AND($O56&gt;=0,$P56&gt;=Summary!$C$107),"X"," "),IF(AND($O56&lt;=0,$P56&lt;=-Summary!$C$107),"X"," "))</f>
        <v>X</v>
      </c>
      <c r="V56" t="str">
        <f t="shared" si="5"/>
        <v xml:space="preserve"> </v>
      </c>
    </row>
    <row r="57" spans="1:22" s="25" customFormat="1" x14ac:dyDescent="0.2">
      <c r="A57" s="42">
        <v>201</v>
      </c>
      <c r="B57" s="77" t="s">
        <v>17</v>
      </c>
      <c r="C57" s="10">
        <v>0</v>
      </c>
      <c r="D57" s="5">
        <v>138</v>
      </c>
      <c r="E57" s="5">
        <v>-138</v>
      </c>
      <c r="F57" s="10">
        <v>0</v>
      </c>
      <c r="G57" s="5">
        <v>141</v>
      </c>
      <c r="H57" s="5">
        <v>-141</v>
      </c>
      <c r="I57" s="10">
        <v>0</v>
      </c>
      <c r="J57" s="5">
        <v>102</v>
      </c>
      <c r="K57" s="5">
        <v>-102</v>
      </c>
      <c r="L57" s="10">
        <v>0</v>
      </c>
      <c r="M57" s="5">
        <v>16</v>
      </c>
      <c r="N57" s="5">
        <v>-16</v>
      </c>
      <c r="O57" s="10">
        <f t="shared" si="7"/>
        <v>-381</v>
      </c>
      <c r="P57" s="97">
        <f t="shared" si="8"/>
        <v>-0.99738219895287961</v>
      </c>
      <c r="Q57" s="101" t="str">
        <f t="shared" si="6"/>
        <v xml:space="preserve"> </v>
      </c>
      <c r="R57" s="91" t="str">
        <f>IF($C$4="High Inventory",IF(AND(O57&gt;=Summary!$C$106,P57&gt;=Summary!$C$107),"X"," "),IF(AND(O57&lt;=-Summary!$C$106,P57&lt;=-Summary!$C$107),"X"," "))</f>
        <v xml:space="preserve"> </v>
      </c>
      <c r="S57" s="21" t="str">
        <f>IF(AND(L57-I57&gt;=Summary!$C$110,N57-K57&gt;Summary!$C$110,N57&gt;0),"X"," ")</f>
        <v xml:space="preserve"> </v>
      </c>
      <c r="T57" s="17" t="str">
        <f>IF($C$4="High Inventory",IF(AND($O57&gt;=Summary!$C$106,$P57&gt;=0%),"X"," "),IF(AND($O57&lt;=-Summary!$C$106,$P57&lt;=0%),"X"," "))</f>
        <v xml:space="preserve"> </v>
      </c>
      <c r="U57" s="21" t="str">
        <f>IF($C$4="High Inventory",IF(AND($O57&gt;=0,$P57&gt;=Summary!$C$107),"X"," "),IF(AND($O57&lt;=0,$P57&lt;=-Summary!$C$107),"X"," "))</f>
        <v xml:space="preserve"> </v>
      </c>
      <c r="V57" t="str">
        <f t="shared" si="5"/>
        <v xml:space="preserve"> </v>
      </c>
    </row>
    <row r="58" spans="1:22" x14ac:dyDescent="0.2">
      <c r="A58" s="42">
        <v>282</v>
      </c>
      <c r="B58" s="77" t="s">
        <v>17</v>
      </c>
      <c r="C58" s="10">
        <v>0</v>
      </c>
      <c r="D58" s="5">
        <v>0</v>
      </c>
      <c r="E58" s="5">
        <v>0</v>
      </c>
      <c r="F58" s="10">
        <v>0</v>
      </c>
      <c r="G58" s="5">
        <v>0</v>
      </c>
      <c r="H58" s="5">
        <v>0</v>
      </c>
      <c r="I58" s="10">
        <v>0</v>
      </c>
      <c r="J58" s="5">
        <v>0</v>
      </c>
      <c r="K58" s="5">
        <v>0</v>
      </c>
      <c r="L58" s="10">
        <v>0</v>
      </c>
      <c r="M58" s="5">
        <v>0</v>
      </c>
      <c r="N58" s="5">
        <v>0</v>
      </c>
      <c r="O58" s="10">
        <f t="shared" si="7"/>
        <v>0</v>
      </c>
      <c r="P58" s="97">
        <f t="shared" si="8"/>
        <v>0</v>
      </c>
      <c r="Q58" s="101" t="str">
        <f t="shared" si="6"/>
        <v xml:space="preserve"> </v>
      </c>
      <c r="R58" s="91" t="str">
        <f>IF($C$4="High Inventory",IF(AND(O58&gt;=Summary!$C$106,P58&gt;=Summary!$C$107),"X"," "),IF(AND(O58&lt;=-Summary!$C$106,P58&lt;=-Summary!$C$107),"X"," "))</f>
        <v xml:space="preserve"> 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 xml:space="preserve"> </v>
      </c>
      <c r="U58" s="21" t="str">
        <f>IF($C$4="High Inventory",IF(AND($O58&gt;=0,$P58&gt;=Summary!$C$107),"X"," "),IF(AND($O58&lt;=0,$P58&lt;=-Summary!$C$107),"X"," "))</f>
        <v xml:space="preserve"> </v>
      </c>
      <c r="V58" t="str">
        <f t="shared" si="5"/>
        <v xml:space="preserve"> </v>
      </c>
    </row>
    <row r="59" spans="1:22" x14ac:dyDescent="0.2">
      <c r="A59" s="42">
        <v>289</v>
      </c>
      <c r="B59" s="77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7"/>
        <v>0</v>
      </c>
      <c r="P59" s="97">
        <f t="shared" si="8"/>
        <v>0</v>
      </c>
      <c r="Q59" s="101" t="str">
        <f t="shared" si="6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5"/>
        <v xml:space="preserve"> </v>
      </c>
    </row>
    <row r="60" spans="1:22" x14ac:dyDescent="0.2">
      <c r="A60" s="42">
        <v>432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1</v>
      </c>
      <c r="H60" s="5">
        <v>-1</v>
      </c>
      <c r="I60" s="10">
        <v>0</v>
      </c>
      <c r="J60" s="5">
        <v>1</v>
      </c>
      <c r="K60" s="5">
        <v>-1</v>
      </c>
      <c r="L60" s="10">
        <v>0</v>
      </c>
      <c r="M60" s="5">
        <v>0</v>
      </c>
      <c r="N60" s="5">
        <v>0</v>
      </c>
      <c r="O60" s="10">
        <f t="shared" ref="O60:O76" si="9">K60+H60+E60</f>
        <v>-2</v>
      </c>
      <c r="P60" s="97">
        <f t="shared" ref="P60:P76" si="10">O60/(J60+G60+D60+1)</f>
        <v>-0.66666666666666663</v>
      </c>
      <c r="Q60" s="101" t="str">
        <f t="shared" si="6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5"/>
        <v xml:space="preserve"> </v>
      </c>
    </row>
    <row r="61" spans="1:22" x14ac:dyDescent="0.2">
      <c r="A61" s="42">
        <v>476</v>
      </c>
      <c r="B61" s="77" t="s">
        <v>17</v>
      </c>
      <c r="C61" s="10">
        <v>0</v>
      </c>
      <c r="D61" s="5">
        <v>0</v>
      </c>
      <c r="E61" s="5">
        <v>0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 t="shared" si="7"/>
        <v>0</v>
      </c>
      <c r="P61" s="97">
        <f t="shared" si="8"/>
        <v>0</v>
      </c>
      <c r="Q61" s="101" t="str">
        <f t="shared" si="6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5"/>
        <v xml:space="preserve"> </v>
      </c>
    </row>
    <row r="62" spans="1:22" x14ac:dyDescent="0.2">
      <c r="A62" s="42">
        <v>512</v>
      </c>
      <c r="B62" s="77" t="s">
        <v>17</v>
      </c>
      <c r="C62" s="10">
        <v>3000</v>
      </c>
      <c r="D62" s="5">
        <v>2764</v>
      </c>
      <c r="E62" s="5">
        <v>236</v>
      </c>
      <c r="F62" s="10">
        <v>2988</v>
      </c>
      <c r="G62" s="5">
        <v>2476</v>
      </c>
      <c r="H62" s="5">
        <v>512</v>
      </c>
      <c r="I62" s="10">
        <v>2500</v>
      </c>
      <c r="J62" s="5">
        <v>1420</v>
      </c>
      <c r="K62" s="5">
        <v>1080</v>
      </c>
      <c r="L62" s="10">
        <v>2500</v>
      </c>
      <c r="M62" s="5">
        <v>958</v>
      </c>
      <c r="N62" s="5">
        <v>1542</v>
      </c>
      <c r="O62" s="10">
        <f t="shared" si="7"/>
        <v>1828</v>
      </c>
      <c r="P62" s="97">
        <f t="shared" si="8"/>
        <v>0.27443326827803632</v>
      </c>
      <c r="Q62" s="101" t="str">
        <f t="shared" si="6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>X</v>
      </c>
      <c r="V62" t="str">
        <f t="shared" si="5"/>
        <v xml:space="preserve"> </v>
      </c>
    </row>
    <row r="63" spans="1:22" x14ac:dyDescent="0.2">
      <c r="A63" s="42">
        <v>757</v>
      </c>
      <c r="B63" s="77" t="s">
        <v>17</v>
      </c>
      <c r="C63" s="10">
        <v>0</v>
      </c>
      <c r="D63" s="5">
        <v>448</v>
      </c>
      <c r="E63" s="5">
        <v>-448</v>
      </c>
      <c r="F63" s="10">
        <v>0</v>
      </c>
      <c r="G63" s="5">
        <v>466</v>
      </c>
      <c r="H63" s="5">
        <v>-466</v>
      </c>
      <c r="I63" s="10">
        <v>0</v>
      </c>
      <c r="J63" s="5">
        <v>512</v>
      </c>
      <c r="K63" s="5">
        <v>-512</v>
      </c>
      <c r="L63" s="10">
        <v>434</v>
      </c>
      <c r="M63" s="5">
        <v>546</v>
      </c>
      <c r="N63" s="5">
        <v>-112</v>
      </c>
      <c r="O63" s="10">
        <f t="shared" si="9"/>
        <v>-1426</v>
      </c>
      <c r="P63" s="97">
        <f t="shared" si="10"/>
        <v>-0.99929922915206726</v>
      </c>
      <c r="Q63" s="101" t="str">
        <f t="shared" si="6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5"/>
        <v xml:space="preserve"> </v>
      </c>
    </row>
    <row r="64" spans="1:22" x14ac:dyDescent="0.2">
      <c r="A64" s="42">
        <v>761</v>
      </c>
      <c r="B64" s="77" t="s">
        <v>17</v>
      </c>
      <c r="C64" s="10">
        <v>0</v>
      </c>
      <c r="D64" s="5">
        <v>1</v>
      </c>
      <c r="E64" s="5">
        <v>-1</v>
      </c>
      <c r="F64" s="10">
        <v>0</v>
      </c>
      <c r="G64" s="5">
        <v>1</v>
      </c>
      <c r="H64" s="5">
        <v>-1</v>
      </c>
      <c r="I64" s="10">
        <v>0</v>
      </c>
      <c r="J64" s="5">
        <v>1</v>
      </c>
      <c r="K64" s="5">
        <v>-1</v>
      </c>
      <c r="L64" s="10">
        <v>0</v>
      </c>
      <c r="M64" s="5">
        <v>1</v>
      </c>
      <c r="N64" s="5">
        <v>-1</v>
      </c>
      <c r="O64" s="10">
        <f t="shared" si="7"/>
        <v>-3</v>
      </c>
      <c r="P64" s="97">
        <f t="shared" si="8"/>
        <v>-0.75</v>
      </c>
      <c r="Q64" s="101" t="str">
        <f t="shared" si="6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5"/>
        <v xml:space="preserve"> </v>
      </c>
    </row>
    <row r="65" spans="1:22" x14ac:dyDescent="0.2">
      <c r="A65" s="42">
        <v>764</v>
      </c>
      <c r="B65" s="77" t="s">
        <v>17</v>
      </c>
      <c r="C65" s="10">
        <v>196</v>
      </c>
      <c r="D65" s="5">
        <v>196</v>
      </c>
      <c r="E65" s="5">
        <v>0</v>
      </c>
      <c r="F65" s="10">
        <v>196</v>
      </c>
      <c r="G65" s="5">
        <v>206</v>
      </c>
      <c r="H65" s="5">
        <v>-10</v>
      </c>
      <c r="I65" s="10">
        <v>196</v>
      </c>
      <c r="J65" s="5">
        <v>171</v>
      </c>
      <c r="K65" s="5">
        <v>25</v>
      </c>
      <c r="L65" s="10">
        <v>196</v>
      </c>
      <c r="M65" s="5">
        <v>157</v>
      </c>
      <c r="N65" s="5">
        <v>39</v>
      </c>
      <c r="O65" s="10">
        <f t="shared" si="9"/>
        <v>15</v>
      </c>
      <c r="P65" s="97">
        <f t="shared" si="10"/>
        <v>2.6132404181184669E-2</v>
      </c>
      <c r="Q65" s="101" t="str">
        <f t="shared" si="6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5"/>
        <v xml:space="preserve"> </v>
      </c>
    </row>
    <row r="66" spans="1:22" x14ac:dyDescent="0.2">
      <c r="A66" s="42">
        <v>765</v>
      </c>
      <c r="B66" s="77" t="s">
        <v>17</v>
      </c>
      <c r="C66" s="10">
        <v>7271</v>
      </c>
      <c r="D66" s="5">
        <v>7336</v>
      </c>
      <c r="E66" s="5">
        <v>-65</v>
      </c>
      <c r="F66" s="10">
        <v>7271</v>
      </c>
      <c r="G66" s="5">
        <v>7379</v>
      </c>
      <c r="H66" s="5">
        <v>-108</v>
      </c>
      <c r="I66" s="10">
        <v>7271</v>
      </c>
      <c r="J66" s="5">
        <v>7403</v>
      </c>
      <c r="K66" s="5">
        <v>-132</v>
      </c>
      <c r="L66" s="10">
        <v>7271</v>
      </c>
      <c r="M66" s="5">
        <v>7419</v>
      </c>
      <c r="N66" s="5">
        <v>-148</v>
      </c>
      <c r="O66" s="10">
        <f t="shared" si="9"/>
        <v>-305</v>
      </c>
      <c r="P66" s="97">
        <f t="shared" si="10"/>
        <v>-1.3789050137890502E-2</v>
      </c>
      <c r="Q66" s="101" t="str">
        <f t="shared" si="6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5"/>
        <v xml:space="preserve"> </v>
      </c>
    </row>
    <row r="67" spans="1:22" x14ac:dyDescent="0.2">
      <c r="A67" s="42">
        <v>779</v>
      </c>
      <c r="B67" s="77" t="s">
        <v>17</v>
      </c>
      <c r="C67" s="10">
        <v>800</v>
      </c>
      <c r="D67" s="5">
        <v>1221</v>
      </c>
      <c r="E67" s="5">
        <v>-421</v>
      </c>
      <c r="F67" s="10">
        <v>800</v>
      </c>
      <c r="G67" s="5">
        <v>1297</v>
      </c>
      <c r="H67" s="5">
        <v>-497</v>
      </c>
      <c r="I67" s="10">
        <v>800</v>
      </c>
      <c r="J67" s="5">
        <v>1045</v>
      </c>
      <c r="K67" s="5">
        <v>-245</v>
      </c>
      <c r="L67" s="10">
        <v>800</v>
      </c>
      <c r="M67" s="5">
        <v>276</v>
      </c>
      <c r="N67" s="5">
        <v>524</v>
      </c>
      <c r="O67" s="10">
        <f t="shared" si="7"/>
        <v>-1163</v>
      </c>
      <c r="P67" s="97">
        <f t="shared" si="8"/>
        <v>-0.32631874298540964</v>
      </c>
      <c r="Q67" s="101" t="str">
        <f t="shared" si="6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5"/>
        <v xml:space="preserve"> </v>
      </c>
    </row>
    <row r="68" spans="1:22" x14ac:dyDescent="0.2">
      <c r="A68" s="42">
        <v>809</v>
      </c>
      <c r="B68" s="77" t="s">
        <v>17</v>
      </c>
      <c r="C68" s="10">
        <v>0</v>
      </c>
      <c r="D68" s="5">
        <v>2</v>
      </c>
      <c r="E68" s="5">
        <v>-2</v>
      </c>
      <c r="F68" s="10">
        <v>0</v>
      </c>
      <c r="G68" s="5">
        <v>1</v>
      </c>
      <c r="H68" s="5">
        <v>-1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9"/>
        <v>-3</v>
      </c>
      <c r="P68" s="97">
        <f t="shared" si="10"/>
        <v>-0.75</v>
      </c>
      <c r="Q68" s="101" t="str">
        <f t="shared" si="6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5"/>
        <v xml:space="preserve"> </v>
      </c>
    </row>
    <row r="69" spans="1:22" x14ac:dyDescent="0.2">
      <c r="A69" s="42">
        <v>810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0</v>
      </c>
      <c r="N69" s="5">
        <v>0</v>
      </c>
      <c r="O69" s="10">
        <f t="shared" si="9"/>
        <v>0</v>
      </c>
      <c r="P69" s="97">
        <f t="shared" si="10"/>
        <v>0</v>
      </c>
      <c r="Q69" s="101" t="str">
        <f t="shared" si="6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5"/>
        <v xml:space="preserve"> </v>
      </c>
    </row>
    <row r="70" spans="1:22" x14ac:dyDescent="0.2">
      <c r="A70" s="42">
        <v>899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 t="shared" si="7"/>
        <v>0</v>
      </c>
      <c r="P70" s="97">
        <f t="shared" si="8"/>
        <v>0</v>
      </c>
      <c r="Q70" s="101" t="str">
        <f t="shared" si="6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5"/>
        <v xml:space="preserve"> </v>
      </c>
    </row>
    <row r="71" spans="1:22" x14ac:dyDescent="0.2">
      <c r="A71" s="42">
        <v>928</v>
      </c>
      <c r="B71" s="77" t="s">
        <v>17</v>
      </c>
      <c r="C71" s="10">
        <v>190</v>
      </c>
      <c r="D71" s="5">
        <v>189</v>
      </c>
      <c r="E71" s="5">
        <v>1</v>
      </c>
      <c r="F71" s="10">
        <v>0</v>
      </c>
      <c r="G71" s="5">
        <v>188</v>
      </c>
      <c r="H71" s="5">
        <v>-188</v>
      </c>
      <c r="I71" s="10">
        <v>190</v>
      </c>
      <c r="J71" s="5">
        <v>189</v>
      </c>
      <c r="K71" s="5">
        <v>1</v>
      </c>
      <c r="L71" s="10">
        <v>190</v>
      </c>
      <c r="M71" s="5">
        <v>189</v>
      </c>
      <c r="N71" s="5">
        <v>1</v>
      </c>
      <c r="O71" s="10">
        <f t="shared" si="7"/>
        <v>-186</v>
      </c>
      <c r="P71" s="97">
        <f t="shared" si="8"/>
        <v>-0.32804232804232802</v>
      </c>
      <c r="Q71" s="101" t="str">
        <f t="shared" si="6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5"/>
        <v xml:space="preserve"> </v>
      </c>
    </row>
    <row r="72" spans="1:22" x14ac:dyDescent="0.2">
      <c r="A72" s="42">
        <v>997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 t="shared" si="9"/>
        <v>0</v>
      </c>
      <c r="P72" s="97">
        <f t="shared" si="10"/>
        <v>0</v>
      </c>
      <c r="Q72" s="101" t="str">
        <f t="shared" si="6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5"/>
        <v xml:space="preserve"> </v>
      </c>
    </row>
    <row r="73" spans="1:22" x14ac:dyDescent="0.2">
      <c r="A73" s="42">
        <v>5379</v>
      </c>
      <c r="B73" s="77" t="s">
        <v>17</v>
      </c>
      <c r="C73" s="10">
        <v>0</v>
      </c>
      <c r="D73" s="5">
        <v>0</v>
      </c>
      <c r="E73" s="5">
        <v>0</v>
      </c>
      <c r="F73" s="10">
        <v>0</v>
      </c>
      <c r="G73" s="5">
        <v>0</v>
      </c>
      <c r="H73" s="5">
        <v>0</v>
      </c>
      <c r="I73" s="10">
        <v>0</v>
      </c>
      <c r="J73" s="5">
        <v>0</v>
      </c>
      <c r="K73" s="5">
        <v>0</v>
      </c>
      <c r="L73" s="10">
        <v>0</v>
      </c>
      <c r="M73" s="5">
        <v>0</v>
      </c>
      <c r="N73" s="5">
        <v>0</v>
      </c>
      <c r="O73" s="10">
        <f t="shared" si="7"/>
        <v>0</v>
      </c>
      <c r="P73" s="97">
        <f t="shared" si="8"/>
        <v>0</v>
      </c>
      <c r="Q73" s="101" t="str">
        <f t="shared" si="6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5"/>
        <v xml:space="preserve"> </v>
      </c>
    </row>
    <row r="74" spans="1:22" x14ac:dyDescent="0.2">
      <c r="A74" s="42">
        <v>6187</v>
      </c>
      <c r="B74" s="77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 t="shared" si="9"/>
        <v>0</v>
      </c>
      <c r="P74" s="97">
        <f t="shared" si="10"/>
        <v>0</v>
      </c>
      <c r="Q74" s="101" t="str">
        <f t="shared" si="6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85" si="11">IF(S74 = "X",L74-I74," ")</f>
        <v xml:space="preserve"> </v>
      </c>
    </row>
    <row r="75" spans="1:22" x14ac:dyDescent="0.2">
      <c r="A75" s="42">
        <v>7088</v>
      </c>
      <c r="B75" s="77" t="s">
        <v>17</v>
      </c>
      <c r="C75" s="10">
        <v>0</v>
      </c>
      <c r="D75" s="5">
        <v>20</v>
      </c>
      <c r="E75" s="5">
        <v>-20</v>
      </c>
      <c r="F75" s="10">
        <v>0</v>
      </c>
      <c r="G75" s="5">
        <v>17</v>
      </c>
      <c r="H75" s="5">
        <v>-17</v>
      </c>
      <c r="I75" s="10">
        <v>0</v>
      </c>
      <c r="J75" s="5">
        <v>8</v>
      </c>
      <c r="K75" s="5">
        <v>-8</v>
      </c>
      <c r="L75" s="10">
        <v>0</v>
      </c>
      <c r="M75" s="5">
        <v>10</v>
      </c>
      <c r="N75" s="5">
        <v>-10</v>
      </c>
      <c r="O75" s="10">
        <f t="shared" si="9"/>
        <v>-45</v>
      </c>
      <c r="P75" s="97">
        <f t="shared" si="10"/>
        <v>-0.97826086956521741</v>
      </c>
      <c r="Q75" s="101" t="str">
        <f t="shared" si="6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1"/>
        <v xml:space="preserve"> </v>
      </c>
    </row>
    <row r="76" spans="1:22" x14ac:dyDescent="0.2">
      <c r="A76" s="42">
        <v>7602</v>
      </c>
      <c r="B76" s="77" t="s">
        <v>17</v>
      </c>
      <c r="C76" s="10">
        <v>40216</v>
      </c>
      <c r="D76" s="5">
        <v>39710</v>
      </c>
      <c r="E76" s="5">
        <v>506</v>
      </c>
      <c r="F76" s="10">
        <v>42181</v>
      </c>
      <c r="G76" s="5">
        <v>39263</v>
      </c>
      <c r="H76" s="5">
        <v>2918</v>
      </c>
      <c r="I76" s="10">
        <v>40265</v>
      </c>
      <c r="J76" s="5">
        <v>34005</v>
      </c>
      <c r="K76" s="5">
        <v>6260</v>
      </c>
      <c r="L76" s="10">
        <v>27515</v>
      </c>
      <c r="M76" s="5">
        <v>33277</v>
      </c>
      <c r="N76" s="5">
        <v>-5762</v>
      </c>
      <c r="O76" s="10">
        <f t="shared" si="9"/>
        <v>9684</v>
      </c>
      <c r="P76" s="97">
        <f t="shared" si="10"/>
        <v>8.571504438878022E-2</v>
      </c>
      <c r="Q76" s="17" t="s">
        <v>44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>X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1"/>
        <v xml:space="preserve"> </v>
      </c>
    </row>
    <row r="77" spans="1:22" x14ac:dyDescent="0.2">
      <c r="A77" s="147">
        <v>7604</v>
      </c>
      <c r="B77" s="148" t="s">
        <v>17</v>
      </c>
      <c r="C77" s="24">
        <v>59075</v>
      </c>
      <c r="D77" s="26">
        <v>47484</v>
      </c>
      <c r="E77" s="26">
        <v>11591</v>
      </c>
      <c r="F77" s="24">
        <v>48126</v>
      </c>
      <c r="G77" s="26">
        <v>51785</v>
      </c>
      <c r="H77" s="26">
        <v>-3659</v>
      </c>
      <c r="I77" s="24">
        <v>69940</v>
      </c>
      <c r="J77" s="26">
        <v>52938</v>
      </c>
      <c r="K77" s="26">
        <v>17002</v>
      </c>
      <c r="L77" s="24">
        <v>60037</v>
      </c>
      <c r="M77" s="26">
        <v>63663</v>
      </c>
      <c r="N77" s="26">
        <v>-3626</v>
      </c>
      <c r="O77" s="24">
        <f t="shared" ref="O77:O85" si="12">K77+H77+E77</f>
        <v>24934</v>
      </c>
      <c r="P77" s="97">
        <f t="shared" ref="P77:P85" si="13">O77/(J77+G77+D77+1)</f>
        <v>0.16381530537159678</v>
      </c>
      <c r="Q77" s="101" t="str">
        <f t="shared" ref="Q77:Q85" si="14">" "</f>
        <v xml:space="preserve"> </v>
      </c>
      <c r="R77" s="150" t="str">
        <f>IF($C$4="High Inventory",IF(AND(O77&gt;=Summary!$C$106,P77&gt;=Summary!$C$107),"X"," "),IF(AND(O77&lt;=-Summary!$C$106,P77&lt;=-Summary!$C$107),"X"," "))</f>
        <v>X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>X</v>
      </c>
      <c r="U77" s="21" t="str">
        <f>IF($C$4="High Inventory",IF(AND($O77&gt;=0,$P77&gt;=Summary!$C$107),"X"," "),IF(AND($O77&lt;=0,$P77&lt;=-Summary!$C$107),"X"," "))</f>
        <v>X</v>
      </c>
      <c r="V77" t="str">
        <f t="shared" si="11"/>
        <v xml:space="preserve"> </v>
      </c>
    </row>
    <row r="78" spans="1:22" x14ac:dyDescent="0.2">
      <c r="A78" s="42">
        <v>8576</v>
      </c>
      <c r="B78" s="77" t="s">
        <v>17</v>
      </c>
      <c r="C78" s="10">
        <v>0</v>
      </c>
      <c r="D78" s="5">
        <v>0</v>
      </c>
      <c r="E78" s="5">
        <v>0</v>
      </c>
      <c r="F78" s="10">
        <v>0</v>
      </c>
      <c r="G78" s="5">
        <v>0</v>
      </c>
      <c r="H78" s="5">
        <v>0</v>
      </c>
      <c r="I78" s="10">
        <v>0</v>
      </c>
      <c r="J78" s="5">
        <v>0</v>
      </c>
      <c r="K78" s="5">
        <v>0</v>
      </c>
      <c r="L78" s="10">
        <v>0</v>
      </c>
      <c r="M78" s="5">
        <v>0</v>
      </c>
      <c r="N78" s="5">
        <v>0</v>
      </c>
      <c r="O78" s="10">
        <f t="shared" si="12"/>
        <v>0</v>
      </c>
      <c r="P78" s="97">
        <f t="shared" si="13"/>
        <v>0</v>
      </c>
      <c r="Q78" s="101" t="str">
        <f t="shared" si="14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11"/>
        <v xml:space="preserve"> </v>
      </c>
    </row>
    <row r="79" spans="1:22" x14ac:dyDescent="0.2">
      <c r="A79" s="147">
        <v>8577</v>
      </c>
      <c r="B79" s="148" t="s">
        <v>17</v>
      </c>
      <c r="C79" s="24">
        <v>0</v>
      </c>
      <c r="D79" s="26">
        <v>0</v>
      </c>
      <c r="E79" s="26">
        <v>0</v>
      </c>
      <c r="F79" s="24">
        <v>0</v>
      </c>
      <c r="G79" s="26">
        <v>0</v>
      </c>
      <c r="H79" s="26">
        <v>0</v>
      </c>
      <c r="I79" s="24">
        <v>0</v>
      </c>
      <c r="J79" s="26">
        <v>0</v>
      </c>
      <c r="K79" s="26">
        <v>0</v>
      </c>
      <c r="L79" s="24">
        <v>0</v>
      </c>
      <c r="M79" s="26">
        <v>0</v>
      </c>
      <c r="N79" s="26">
        <v>0</v>
      </c>
      <c r="O79" s="24">
        <f t="shared" si="12"/>
        <v>0</v>
      </c>
      <c r="P79" s="149">
        <f t="shared" si="13"/>
        <v>0</v>
      </c>
      <c r="Q79" s="101" t="str">
        <f t="shared" si="14"/>
        <v xml:space="preserve"> </v>
      </c>
      <c r="R79" s="150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1"/>
        <v xml:space="preserve"> </v>
      </c>
    </row>
    <row r="80" spans="1:22" x14ac:dyDescent="0.2">
      <c r="A80" s="42">
        <v>8578</v>
      </c>
      <c r="B80" s="77" t="s">
        <v>17</v>
      </c>
      <c r="C80" s="10">
        <v>0</v>
      </c>
      <c r="D80" s="5">
        <v>0</v>
      </c>
      <c r="E80" s="5">
        <v>0</v>
      </c>
      <c r="F80" s="10">
        <v>0</v>
      </c>
      <c r="G80" s="5">
        <v>0</v>
      </c>
      <c r="H80" s="5">
        <v>0</v>
      </c>
      <c r="I80" s="10">
        <v>0</v>
      </c>
      <c r="J80" s="5">
        <v>0</v>
      </c>
      <c r="K80" s="5">
        <v>0</v>
      </c>
      <c r="L80" s="10">
        <v>0</v>
      </c>
      <c r="M80" s="5">
        <v>0</v>
      </c>
      <c r="N80" s="5">
        <v>0</v>
      </c>
      <c r="O80" s="10">
        <f t="shared" si="12"/>
        <v>0</v>
      </c>
      <c r="P80" s="97">
        <f t="shared" si="13"/>
        <v>0</v>
      </c>
      <c r="Q80" s="101" t="str">
        <f t="shared" si="14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1"/>
        <v xml:space="preserve"> </v>
      </c>
    </row>
    <row r="81" spans="1:22" x14ac:dyDescent="0.2">
      <c r="A81" s="42">
        <v>8579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12"/>
        <v>0</v>
      </c>
      <c r="P81" s="97">
        <f t="shared" si="13"/>
        <v>0</v>
      </c>
      <c r="Q81" s="101" t="str">
        <f t="shared" si="14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1"/>
        <v xml:space="preserve"> </v>
      </c>
    </row>
    <row r="82" spans="1:22" x14ac:dyDescent="0.2">
      <c r="A82" s="42">
        <v>8580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12"/>
        <v>0</v>
      </c>
      <c r="P82" s="97">
        <f t="shared" si="13"/>
        <v>0</v>
      </c>
      <c r="Q82" s="101" t="str">
        <f t="shared" si="14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1"/>
        <v xml:space="preserve"> </v>
      </c>
    </row>
    <row r="83" spans="1:22" x14ac:dyDescent="0.2">
      <c r="A83" s="42">
        <v>13636</v>
      </c>
      <c r="B83" s="77" t="s">
        <v>17</v>
      </c>
      <c r="C83" s="10">
        <v>120</v>
      </c>
      <c r="D83" s="5">
        <v>0</v>
      </c>
      <c r="E83" s="5">
        <v>120</v>
      </c>
      <c r="F83" s="10">
        <v>0</v>
      </c>
      <c r="G83" s="5">
        <v>7</v>
      </c>
      <c r="H83" s="5">
        <v>-7</v>
      </c>
      <c r="I83" s="10">
        <v>120</v>
      </c>
      <c r="J83" s="5">
        <v>0</v>
      </c>
      <c r="K83" s="5">
        <v>120</v>
      </c>
      <c r="L83" s="10">
        <v>120</v>
      </c>
      <c r="M83" s="5">
        <v>0</v>
      </c>
      <c r="N83" s="5">
        <v>120</v>
      </c>
      <c r="O83" s="10">
        <f t="shared" si="12"/>
        <v>233</v>
      </c>
      <c r="P83" s="97">
        <f t="shared" si="13"/>
        <v>29.125</v>
      </c>
      <c r="Q83" s="101" t="str">
        <f t="shared" si="14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>X</v>
      </c>
      <c r="V83" t="str">
        <f t="shared" si="11"/>
        <v xml:space="preserve"> </v>
      </c>
    </row>
    <row r="84" spans="1:22" x14ac:dyDescent="0.2">
      <c r="A84" s="42">
        <v>18287</v>
      </c>
      <c r="B84" s="77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12"/>
        <v>0</v>
      </c>
      <c r="P84" s="97">
        <f t="shared" si="13"/>
        <v>0</v>
      </c>
      <c r="Q84" s="101" t="str">
        <f t="shared" si="14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1"/>
        <v xml:space="preserve"> </v>
      </c>
    </row>
    <row r="85" spans="1:22" ht="13.5" thickBot="1" x14ac:dyDescent="0.25">
      <c r="A85" s="42">
        <v>20566</v>
      </c>
      <c r="B85" s="77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12"/>
        <v>0</v>
      </c>
      <c r="P85" s="97">
        <f t="shared" si="13"/>
        <v>0</v>
      </c>
      <c r="Q85" s="120" t="str">
        <f t="shared" si="14"/>
        <v xml:space="preserve"> </v>
      </c>
      <c r="R85" s="121" t="str">
        <f>IF($C$4="High Inventory",IF(AND(O85&gt;=Summary!$C$106,P85&gt;=Summary!$C$107),"X"," "),IF(AND(O85&lt;=-Summary!$C$106,P85&lt;=-Summary!$C$107),"X"," "))</f>
        <v xml:space="preserve"> </v>
      </c>
      <c r="S85" s="23" t="str">
        <f>IF(AND(L85-I85&gt;=Summary!$C$110,N85-K85&gt;Summary!$C$110,N85&gt;0),"X"," ")</f>
        <v xml:space="preserve"> </v>
      </c>
      <c r="T85" s="127" t="str">
        <f>IF($C$4="High Inventory",IF(AND($O85&gt;=Summary!$C$106,$P85&gt;=0%),"X"," "),IF(AND($O85&lt;=-Summary!$C$106,$P85&lt;=0%),"X"," "))</f>
        <v xml:space="preserve"> </v>
      </c>
      <c r="U85" s="23" t="str">
        <f>IF($C$4="High Inventory",IF(AND($O85&gt;=0,$P85&gt;=Summary!$C$107),"X"," "),IF(AND($O85&lt;=0,$P85&lt;=-Summary!$C$107),"X"," "))</f>
        <v xml:space="preserve"> </v>
      </c>
      <c r="V85" t="str">
        <f t="shared" si="11"/>
        <v xml:space="preserve"> </v>
      </c>
    </row>
    <row r="86" spans="1:22" x14ac:dyDescent="0.2">
      <c r="A86" s="2" t="s">
        <v>18</v>
      </c>
      <c r="E86" s="3">
        <f>SUM(E10:E85)</f>
        <v>-8944</v>
      </c>
      <c r="H86" s="3">
        <f>SUM(H10:H85)</f>
        <v>15277</v>
      </c>
      <c r="K86" s="3">
        <f>SUM(K10:K85)</f>
        <v>171571</v>
      </c>
      <c r="M86" s="3">
        <f>SUM(M10:M85)</f>
        <v>1810672</v>
      </c>
      <c r="N86" s="3">
        <f>SUM(N10:N85)</f>
        <v>165205</v>
      </c>
      <c r="P86" s="1"/>
      <c r="Q86" s="2">
        <f>COUNTIF(Q10:Q85,"X")</f>
        <v>6</v>
      </c>
      <c r="R86" s="2">
        <f>COUNTIF(R10:R85,"X")</f>
        <v>7</v>
      </c>
      <c r="S86" s="2">
        <f>COUNTIF(S10:S85,"X")</f>
        <v>3</v>
      </c>
      <c r="T86" s="2">
        <f>COUNTIF(T10:T85,"X")</f>
        <v>11</v>
      </c>
      <c r="U86" s="2">
        <f>COUNTIF(U10:U85,"X")</f>
        <v>13</v>
      </c>
      <c r="V86">
        <f>SUM(V$58:V$85)+SUM(V$31:V$53)+SUM(V$10:V$26)</f>
        <v>46410</v>
      </c>
    </row>
    <row r="87" spans="1:22" x14ac:dyDescent="0.2">
      <c r="M87" s="115" t="s">
        <v>57</v>
      </c>
      <c r="N87" s="116">
        <f>N86/M86</f>
        <v>9.123960606890702E-2</v>
      </c>
      <c r="P87" s="1"/>
      <c r="R87" s="2"/>
    </row>
    <row r="88" spans="1:22" x14ac:dyDescent="0.2">
      <c r="P88" s="1"/>
      <c r="R88" s="2"/>
    </row>
  </sheetData>
  <mergeCells count="1">
    <mergeCell ref="R6:S6"/>
  </mergeCells>
  <pageMargins left="0.25" right="0.25" top="0.64" bottom="0.88" header="0.46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9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5546875" defaultRowHeight="12.75" x14ac:dyDescent="0.2"/>
  <cols>
    <col min="1" max="1" width="9.42578125" style="43" customWidth="1"/>
    <col min="2" max="2" width="10" style="43" customWidth="1"/>
    <col min="3" max="19" width="10" customWidth="1"/>
    <col min="20" max="22" width="10" hidden="1" customWidth="1"/>
    <col min="23" max="25" width="10" customWidth="1"/>
    <col min="26" max="252" width="9.140625" customWidth="1"/>
  </cols>
  <sheetData>
    <row r="1" spans="1:22" ht="18" x14ac:dyDescent="0.25">
      <c r="A1" s="80" t="s">
        <v>45</v>
      </c>
    </row>
    <row r="2" spans="1:22" ht="20.25" customHeight="1" x14ac:dyDescent="0.2">
      <c r="A2" s="113" t="s">
        <v>24</v>
      </c>
    </row>
    <row r="3" spans="1:22" ht="15.75" x14ac:dyDescent="0.25">
      <c r="A3" s="81" t="s">
        <v>25</v>
      </c>
      <c r="C3" s="20">
        <f>L8</f>
        <v>36689</v>
      </c>
      <c r="D3" s="19"/>
    </row>
    <row r="4" spans="1:22" ht="15.75" x14ac:dyDescent="0.25">
      <c r="A4" s="81" t="s">
        <v>26</v>
      </c>
      <c r="C4" s="4" t="s">
        <v>27</v>
      </c>
      <c r="E4" s="4" t="s">
        <v>59</v>
      </c>
    </row>
    <row r="5" spans="1:22" ht="16.5" thickBot="1" x14ac:dyDescent="0.3">
      <c r="A5" s="81" t="s">
        <v>28</v>
      </c>
      <c r="C5" s="4" t="s">
        <v>29</v>
      </c>
    </row>
    <row r="6" spans="1:22" s="155" customFormat="1" ht="21.75" customHeight="1" thickBot="1" x14ac:dyDescent="0.25">
      <c r="A6" s="153"/>
      <c r="B6" s="154"/>
      <c r="R6" s="219" t="s">
        <v>35</v>
      </c>
      <c r="S6" s="220"/>
    </row>
    <row r="7" spans="1:22" s="85" customFormat="1" ht="54" customHeight="1" thickBot="1" x14ac:dyDescent="0.25">
      <c r="A7" s="82" t="s">
        <v>69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5" customHeight="1" thickBot="1" x14ac:dyDescent="0.25">
      <c r="A8" s="78"/>
      <c r="B8" s="79"/>
      <c r="C8" s="73">
        <v>36686</v>
      </c>
      <c r="D8" s="74"/>
      <c r="E8" s="75" t="s">
        <v>66</v>
      </c>
      <c r="F8" s="73">
        <v>36687</v>
      </c>
      <c r="G8" s="74"/>
      <c r="H8" s="75" t="s">
        <v>67</v>
      </c>
      <c r="I8" s="73">
        <v>36688</v>
      </c>
      <c r="J8" s="74"/>
      <c r="K8" s="75" t="s">
        <v>65</v>
      </c>
      <c r="L8" s="73">
        <v>36689</v>
      </c>
      <c r="M8" s="74"/>
      <c r="N8" s="75" t="s">
        <v>68</v>
      </c>
      <c r="O8" s="71"/>
      <c r="P8" s="72"/>
      <c r="Q8" s="128"/>
      <c r="R8" s="129"/>
      <c r="S8" s="156">
        <f>Summary!$C$110</f>
        <v>5000</v>
      </c>
      <c r="T8" s="144"/>
      <c r="U8" s="130"/>
    </row>
    <row r="9" spans="1:22" ht="51" hidden="1" x14ac:dyDescent="0.2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>K9+H9+E9</f>
        <v>#VALUE!</v>
      </c>
      <c r="P9" s="5"/>
      <c r="Q9" s="118"/>
      <c r="R9" s="119"/>
      <c r="S9" s="103"/>
    </row>
    <row r="10" spans="1:22" x14ac:dyDescent="0.2">
      <c r="A10" s="42">
        <v>1117</v>
      </c>
      <c r="B10" s="77" t="s">
        <v>8</v>
      </c>
      <c r="C10" s="10">
        <v>167</v>
      </c>
      <c r="D10" s="5">
        <v>241</v>
      </c>
      <c r="E10" s="5">
        <v>-74</v>
      </c>
      <c r="F10" s="10">
        <v>167</v>
      </c>
      <c r="G10" s="5">
        <v>221</v>
      </c>
      <c r="H10" s="5">
        <v>-54</v>
      </c>
      <c r="I10" s="10">
        <v>167</v>
      </c>
      <c r="J10" s="5">
        <v>208</v>
      </c>
      <c r="K10" s="5">
        <v>-41</v>
      </c>
      <c r="L10" s="10">
        <v>0</v>
      </c>
      <c r="M10" s="5">
        <v>207</v>
      </c>
      <c r="N10" s="5">
        <v>-207</v>
      </c>
      <c r="O10" s="10">
        <f t="shared" ref="O10:O56" si="0">K10+H10+E10</f>
        <v>-169</v>
      </c>
      <c r="P10" s="97">
        <f t="shared" ref="P10:P56" si="1">O10/(J10+G10+D10+1)</f>
        <v>-0.25186289120715349</v>
      </c>
      <c r="Q10" s="134" t="str">
        <f t="shared" ref="Q10:Q73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5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">
      <c r="A11" s="42">
        <v>1126</v>
      </c>
      <c r="B11" s="77" t="s">
        <v>8</v>
      </c>
      <c r="C11" s="10">
        <v>0</v>
      </c>
      <c r="D11" s="5">
        <v>74</v>
      </c>
      <c r="E11" s="5">
        <v>-74</v>
      </c>
      <c r="F11" s="10">
        <v>0</v>
      </c>
      <c r="G11" s="5">
        <v>69</v>
      </c>
      <c r="H11" s="5">
        <v>-69</v>
      </c>
      <c r="I11" s="10">
        <v>0</v>
      </c>
      <c r="J11" s="5">
        <v>65</v>
      </c>
      <c r="K11" s="5">
        <v>-65</v>
      </c>
      <c r="L11" s="10">
        <v>0</v>
      </c>
      <c r="M11" s="5">
        <v>64</v>
      </c>
      <c r="N11" s="5">
        <v>-64</v>
      </c>
      <c r="O11" s="10">
        <f t="shared" si="0"/>
        <v>-208</v>
      </c>
      <c r="P11" s="97">
        <f t="shared" si="1"/>
        <v>-0.99521531100478466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99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">
      <c r="A12" s="42">
        <v>1157</v>
      </c>
      <c r="B12" s="77" t="s">
        <v>8</v>
      </c>
      <c r="C12" s="10">
        <v>100</v>
      </c>
      <c r="D12" s="5">
        <v>110</v>
      </c>
      <c r="E12" s="5">
        <v>-10</v>
      </c>
      <c r="F12" s="10">
        <v>100</v>
      </c>
      <c r="G12" s="5">
        <v>104</v>
      </c>
      <c r="H12" s="5">
        <v>-4</v>
      </c>
      <c r="I12" s="10">
        <v>100</v>
      </c>
      <c r="J12" s="5">
        <v>98</v>
      </c>
      <c r="K12" s="5">
        <v>2</v>
      </c>
      <c r="L12" s="10">
        <v>100</v>
      </c>
      <c r="M12" s="5">
        <v>98</v>
      </c>
      <c r="N12" s="5">
        <v>2</v>
      </c>
      <c r="O12" s="10">
        <f t="shared" si="0"/>
        <v>-12</v>
      </c>
      <c r="P12" s="97">
        <f t="shared" si="1"/>
        <v>-3.8338658146964855E-2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99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">
      <c r="A13" s="42">
        <v>1780</v>
      </c>
      <c r="B13" s="77" t="s">
        <v>8</v>
      </c>
      <c r="C13" s="10">
        <v>1355</v>
      </c>
      <c r="D13" s="5">
        <v>1062</v>
      </c>
      <c r="E13" s="5">
        <v>293</v>
      </c>
      <c r="F13" s="10">
        <v>1000</v>
      </c>
      <c r="G13" s="5">
        <v>991</v>
      </c>
      <c r="H13" s="5">
        <v>9</v>
      </c>
      <c r="I13" s="10">
        <v>1000</v>
      </c>
      <c r="J13" s="5">
        <v>934</v>
      </c>
      <c r="K13" s="5">
        <v>66</v>
      </c>
      <c r="L13" s="10">
        <v>870</v>
      </c>
      <c r="M13" s="5">
        <v>932</v>
      </c>
      <c r="N13" s="5">
        <v>-62</v>
      </c>
      <c r="O13" s="10">
        <f t="shared" si="0"/>
        <v>368</v>
      </c>
      <c r="P13" s="97">
        <f t="shared" si="1"/>
        <v>0.12315930388219545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99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>X</v>
      </c>
      <c r="V13" t="str">
        <f t="shared" si="3"/>
        <v xml:space="preserve"> </v>
      </c>
    </row>
    <row r="14" spans="1:22" x14ac:dyDescent="0.2">
      <c r="A14" s="42">
        <v>2280</v>
      </c>
      <c r="B14" s="77" t="s">
        <v>8</v>
      </c>
      <c r="C14" s="10">
        <v>681</v>
      </c>
      <c r="D14" s="5">
        <v>846</v>
      </c>
      <c r="E14" s="5">
        <v>-165</v>
      </c>
      <c r="F14" s="10">
        <v>681</v>
      </c>
      <c r="G14" s="5">
        <v>797</v>
      </c>
      <c r="H14" s="5">
        <v>-116</v>
      </c>
      <c r="I14" s="10">
        <v>681</v>
      </c>
      <c r="J14" s="5">
        <v>750</v>
      </c>
      <c r="K14" s="5">
        <v>-69</v>
      </c>
      <c r="L14" s="10">
        <v>681</v>
      </c>
      <c r="M14" s="5">
        <v>749</v>
      </c>
      <c r="N14" s="5">
        <v>-68</v>
      </c>
      <c r="O14" s="10">
        <f t="shared" si="0"/>
        <v>-350</v>
      </c>
      <c r="P14" s="97">
        <f t="shared" si="1"/>
        <v>-0.14619883040935672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99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3"/>
        <v xml:space="preserve"> </v>
      </c>
    </row>
    <row r="15" spans="1:22" x14ac:dyDescent="0.2">
      <c r="A15" s="42">
        <v>2584</v>
      </c>
      <c r="B15" s="77" t="s">
        <v>8</v>
      </c>
      <c r="C15" s="10">
        <v>4079</v>
      </c>
      <c r="D15" s="5">
        <v>3290</v>
      </c>
      <c r="E15" s="5">
        <v>789</v>
      </c>
      <c r="F15" s="10">
        <v>3225</v>
      </c>
      <c r="G15" s="5">
        <v>3093</v>
      </c>
      <c r="H15" s="5">
        <v>132</v>
      </c>
      <c r="I15" s="10">
        <v>3225</v>
      </c>
      <c r="J15" s="5">
        <v>2910</v>
      </c>
      <c r="K15" s="5">
        <v>315</v>
      </c>
      <c r="L15" s="10">
        <v>2700</v>
      </c>
      <c r="M15" s="5">
        <v>2907</v>
      </c>
      <c r="N15" s="5">
        <v>-207</v>
      </c>
      <c r="O15" s="10">
        <f t="shared" si="0"/>
        <v>1236</v>
      </c>
      <c r="P15" s="97">
        <f t="shared" si="1"/>
        <v>0.13298902517753389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99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>X</v>
      </c>
      <c r="V15" t="str">
        <f t="shared" si="3"/>
        <v xml:space="preserve"> </v>
      </c>
    </row>
    <row r="16" spans="1:22" x14ac:dyDescent="0.2">
      <c r="A16" s="42">
        <v>2771</v>
      </c>
      <c r="B16" s="77" t="s">
        <v>8</v>
      </c>
      <c r="C16" s="10">
        <v>5500</v>
      </c>
      <c r="D16" s="5">
        <v>6442</v>
      </c>
      <c r="E16" s="5">
        <v>-942</v>
      </c>
      <c r="F16" s="10">
        <v>4680</v>
      </c>
      <c r="G16" s="5">
        <v>6053</v>
      </c>
      <c r="H16" s="5">
        <v>-1373</v>
      </c>
      <c r="I16" s="10">
        <v>5500</v>
      </c>
      <c r="J16" s="5">
        <v>5655</v>
      </c>
      <c r="K16" s="5">
        <v>-155</v>
      </c>
      <c r="L16" s="10">
        <v>5300</v>
      </c>
      <c r="M16" s="5">
        <v>5649</v>
      </c>
      <c r="N16" s="5">
        <v>-349</v>
      </c>
      <c r="O16" s="10">
        <f t="shared" si="0"/>
        <v>-2470</v>
      </c>
      <c r="P16" s="97">
        <f t="shared" si="1"/>
        <v>-0.13608065671312874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 xml:space="preserve"> </v>
      </c>
      <c r="T16" s="99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t="str">
        <f t="shared" si="3"/>
        <v xml:space="preserve"> </v>
      </c>
    </row>
    <row r="17" spans="1:22" x14ac:dyDescent="0.2">
      <c r="A17" s="42">
        <v>2832</v>
      </c>
      <c r="B17" s="77" t="s">
        <v>8</v>
      </c>
      <c r="C17" s="10">
        <v>500</v>
      </c>
      <c r="D17" s="5">
        <v>996</v>
      </c>
      <c r="E17" s="5">
        <v>-496</v>
      </c>
      <c r="F17" s="10">
        <v>500</v>
      </c>
      <c r="G17" s="5">
        <v>935</v>
      </c>
      <c r="H17" s="5">
        <v>-435</v>
      </c>
      <c r="I17" s="10">
        <v>500</v>
      </c>
      <c r="J17" s="5">
        <v>881</v>
      </c>
      <c r="K17" s="5">
        <v>-381</v>
      </c>
      <c r="L17" s="10">
        <v>826</v>
      </c>
      <c r="M17" s="5">
        <v>879</v>
      </c>
      <c r="N17" s="5">
        <v>-53</v>
      </c>
      <c r="O17" s="10">
        <f t="shared" si="0"/>
        <v>-1312</v>
      </c>
      <c r="P17" s="97">
        <f t="shared" si="1"/>
        <v>-0.46640597227159614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99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">
      <c r="A18" s="42">
        <v>2892</v>
      </c>
      <c r="B18" s="77" t="s">
        <v>8</v>
      </c>
      <c r="C18" s="10">
        <v>4177</v>
      </c>
      <c r="D18" s="5">
        <v>4944</v>
      </c>
      <c r="E18" s="5">
        <v>-767</v>
      </c>
      <c r="F18" s="10">
        <v>4829</v>
      </c>
      <c r="G18" s="5">
        <v>4642</v>
      </c>
      <c r="H18" s="5">
        <v>187</v>
      </c>
      <c r="I18" s="10">
        <v>4333</v>
      </c>
      <c r="J18" s="5">
        <v>4362</v>
      </c>
      <c r="K18" s="5">
        <v>-29</v>
      </c>
      <c r="L18" s="10">
        <v>4381</v>
      </c>
      <c r="M18" s="5">
        <v>4357</v>
      </c>
      <c r="N18" s="5">
        <v>24</v>
      </c>
      <c r="O18" s="10">
        <f t="shared" si="0"/>
        <v>-609</v>
      </c>
      <c r="P18" s="97">
        <f t="shared" si="1"/>
        <v>-4.3659043659043661E-2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99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3"/>
        <v xml:space="preserve"> </v>
      </c>
    </row>
    <row r="19" spans="1:22" x14ac:dyDescent="0.2">
      <c r="A19" s="42">
        <v>2939</v>
      </c>
      <c r="B19" s="77" t="s">
        <v>8</v>
      </c>
      <c r="C19" s="10">
        <v>1002</v>
      </c>
      <c r="D19" s="5">
        <v>248</v>
      </c>
      <c r="E19" s="5">
        <v>754</v>
      </c>
      <c r="F19" s="10">
        <v>1002</v>
      </c>
      <c r="G19" s="5">
        <v>234</v>
      </c>
      <c r="H19" s="5">
        <v>768</v>
      </c>
      <c r="I19" s="10">
        <v>1002</v>
      </c>
      <c r="J19" s="5">
        <v>220</v>
      </c>
      <c r="K19" s="5">
        <v>782</v>
      </c>
      <c r="L19" s="10">
        <v>207</v>
      </c>
      <c r="M19" s="5">
        <v>219</v>
      </c>
      <c r="N19" s="5">
        <v>-12</v>
      </c>
      <c r="O19" s="10">
        <f t="shared" si="0"/>
        <v>2304</v>
      </c>
      <c r="P19" s="97">
        <f t="shared" si="1"/>
        <v>3.2773826458036983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99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>X</v>
      </c>
      <c r="V19" t="str">
        <f t="shared" si="3"/>
        <v xml:space="preserve"> </v>
      </c>
    </row>
    <row r="20" spans="1:22" x14ac:dyDescent="0.2">
      <c r="A20" s="42">
        <v>3152</v>
      </c>
      <c r="B20" s="77" t="s">
        <v>8</v>
      </c>
      <c r="C20" s="10">
        <v>7006</v>
      </c>
      <c r="D20" s="5">
        <v>4731</v>
      </c>
      <c r="E20" s="5">
        <v>2275</v>
      </c>
      <c r="F20" s="10">
        <v>4917</v>
      </c>
      <c r="G20" s="5">
        <v>4426</v>
      </c>
      <c r="H20" s="5">
        <v>491</v>
      </c>
      <c r="I20" s="10">
        <v>4917</v>
      </c>
      <c r="J20" s="5">
        <v>4081</v>
      </c>
      <c r="K20" s="5">
        <v>836</v>
      </c>
      <c r="L20" s="10">
        <v>3800</v>
      </c>
      <c r="M20" s="5">
        <v>4077</v>
      </c>
      <c r="N20" s="5">
        <v>-277</v>
      </c>
      <c r="O20" s="10">
        <f t="shared" si="0"/>
        <v>3602</v>
      </c>
      <c r="P20" s="97">
        <f t="shared" si="1"/>
        <v>0.27207493013067452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99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>X</v>
      </c>
      <c r="V20" t="str">
        <f t="shared" si="3"/>
        <v xml:space="preserve"> </v>
      </c>
    </row>
    <row r="21" spans="1:22" x14ac:dyDescent="0.2">
      <c r="A21" s="42">
        <v>4303</v>
      </c>
      <c r="B21" s="77" t="s">
        <v>8</v>
      </c>
      <c r="C21" s="10">
        <v>1699</v>
      </c>
      <c r="D21" s="5">
        <v>2585</v>
      </c>
      <c r="E21" s="5">
        <v>-886</v>
      </c>
      <c r="F21" s="10">
        <v>1980</v>
      </c>
      <c r="G21" s="5">
        <v>2420</v>
      </c>
      <c r="H21" s="5">
        <v>-440</v>
      </c>
      <c r="I21" s="10">
        <v>1891</v>
      </c>
      <c r="J21" s="5">
        <v>2279</v>
      </c>
      <c r="K21" s="5">
        <v>-388</v>
      </c>
      <c r="L21" s="10">
        <v>1957</v>
      </c>
      <c r="M21" s="5">
        <v>2277</v>
      </c>
      <c r="N21" s="5">
        <v>-320</v>
      </c>
      <c r="O21" s="10">
        <f t="shared" si="0"/>
        <v>-1714</v>
      </c>
      <c r="P21" s="97">
        <f t="shared" si="1"/>
        <v>-0.23527796842827728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99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3"/>
        <v xml:space="preserve"> </v>
      </c>
    </row>
    <row r="22" spans="1:22" x14ac:dyDescent="0.2">
      <c r="A22" s="42">
        <v>6500</v>
      </c>
      <c r="B22" s="77" t="s">
        <v>8</v>
      </c>
      <c r="C22" s="10">
        <v>467495</v>
      </c>
      <c r="D22" s="5">
        <v>495497</v>
      </c>
      <c r="E22" s="5">
        <v>-28002</v>
      </c>
      <c r="F22" s="10">
        <v>475442</v>
      </c>
      <c r="G22" s="5">
        <v>461161</v>
      </c>
      <c r="H22" s="5">
        <v>14281</v>
      </c>
      <c r="I22" s="10">
        <v>434090</v>
      </c>
      <c r="J22" s="5">
        <v>432492</v>
      </c>
      <c r="K22" s="5">
        <v>1598</v>
      </c>
      <c r="L22" s="10">
        <v>431101</v>
      </c>
      <c r="M22" s="5">
        <v>432065</v>
      </c>
      <c r="N22" s="5">
        <v>-964</v>
      </c>
      <c r="O22" s="10">
        <f t="shared" si="0"/>
        <v>-12123</v>
      </c>
      <c r="P22" s="97">
        <f t="shared" si="1"/>
        <v>-8.7269130569678898E-3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99" t="str">
        <f>IF($C$4="High Inventory",IF(AND($O22&gt;=Summary!$C$106,$P22&gt;=0%),"X"," "),IF(AND($O22&lt;=-Summary!$C$106,$P22&lt;=0%),"X"," "))</f>
        <v xml:space="preserve"> 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">
      <c r="A23" s="42">
        <v>10656</v>
      </c>
      <c r="B23" s="77" t="s">
        <v>8</v>
      </c>
      <c r="C23" s="10">
        <v>235</v>
      </c>
      <c r="D23" s="5">
        <v>211</v>
      </c>
      <c r="E23" s="5">
        <v>24</v>
      </c>
      <c r="F23" s="10">
        <v>235</v>
      </c>
      <c r="G23" s="5">
        <v>198</v>
      </c>
      <c r="H23" s="5">
        <v>37</v>
      </c>
      <c r="I23" s="10">
        <v>216</v>
      </c>
      <c r="J23" s="5">
        <v>187</v>
      </c>
      <c r="K23" s="5">
        <v>29</v>
      </c>
      <c r="L23" s="10">
        <v>0</v>
      </c>
      <c r="M23" s="5">
        <v>186</v>
      </c>
      <c r="N23" s="5">
        <v>-186</v>
      </c>
      <c r="O23" s="10">
        <f t="shared" si="0"/>
        <v>90</v>
      </c>
      <c r="P23" s="97">
        <f t="shared" si="1"/>
        <v>0.15075376884422109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99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>X</v>
      </c>
      <c r="V23" t="str">
        <f t="shared" si="3"/>
        <v xml:space="preserve"> </v>
      </c>
    </row>
    <row r="24" spans="1:22" x14ac:dyDescent="0.2">
      <c r="A24" s="42">
        <v>12296</v>
      </c>
      <c r="B24" s="77" t="s">
        <v>8</v>
      </c>
      <c r="C24" s="10">
        <v>2600</v>
      </c>
      <c r="D24" s="5">
        <v>2733</v>
      </c>
      <c r="E24" s="5">
        <v>-133</v>
      </c>
      <c r="F24" s="10">
        <v>2600</v>
      </c>
      <c r="G24" s="5">
        <v>2555</v>
      </c>
      <c r="H24" s="5">
        <v>45</v>
      </c>
      <c r="I24" s="10">
        <v>2600</v>
      </c>
      <c r="J24" s="5">
        <v>2406</v>
      </c>
      <c r="K24" s="5">
        <v>194</v>
      </c>
      <c r="L24" s="10">
        <v>2424</v>
      </c>
      <c r="M24" s="5">
        <v>2404</v>
      </c>
      <c r="N24" s="5">
        <v>20</v>
      </c>
      <c r="O24" s="10">
        <f t="shared" si="0"/>
        <v>106</v>
      </c>
      <c r="P24" s="97">
        <f t="shared" si="1"/>
        <v>1.3775178687459389E-2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99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">
      <c r="A25" s="42">
        <v>16786</v>
      </c>
      <c r="B25" s="77" t="s">
        <v>8</v>
      </c>
      <c r="C25" s="10">
        <v>3175</v>
      </c>
      <c r="D25" s="5">
        <v>3874</v>
      </c>
      <c r="E25" s="5">
        <v>-699</v>
      </c>
      <c r="F25" s="10">
        <v>3175</v>
      </c>
      <c r="G25" s="5">
        <v>3615</v>
      </c>
      <c r="H25" s="5">
        <v>-440</v>
      </c>
      <c r="I25" s="10">
        <v>3175</v>
      </c>
      <c r="J25" s="5">
        <v>3395</v>
      </c>
      <c r="K25" s="5">
        <v>-220</v>
      </c>
      <c r="L25" s="10">
        <v>3147</v>
      </c>
      <c r="M25" s="5">
        <v>3391</v>
      </c>
      <c r="N25" s="5">
        <v>-244</v>
      </c>
      <c r="O25" s="10">
        <f t="shared" si="0"/>
        <v>-1359</v>
      </c>
      <c r="P25" s="97">
        <f t="shared" si="1"/>
        <v>-0.12485071198897565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99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">
      <c r="A26" s="42">
        <v>17791</v>
      </c>
      <c r="B26" s="77" t="s">
        <v>8</v>
      </c>
      <c r="C26" s="10">
        <v>166</v>
      </c>
      <c r="D26" s="5">
        <v>238</v>
      </c>
      <c r="E26" s="5">
        <v>-72</v>
      </c>
      <c r="F26" s="10">
        <v>150</v>
      </c>
      <c r="G26" s="5">
        <v>224</v>
      </c>
      <c r="H26" s="5">
        <v>-74</v>
      </c>
      <c r="I26" s="10">
        <v>150</v>
      </c>
      <c r="J26" s="5">
        <v>211</v>
      </c>
      <c r="K26" s="5">
        <v>-61</v>
      </c>
      <c r="L26" s="10">
        <v>150</v>
      </c>
      <c r="M26" s="5">
        <v>210</v>
      </c>
      <c r="N26" s="5">
        <v>-60</v>
      </c>
      <c r="O26" s="10">
        <f t="shared" si="0"/>
        <v>-207</v>
      </c>
      <c r="P26" s="97">
        <f t="shared" si="1"/>
        <v>-0.30712166172106825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99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99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">
      <c r="A28" s="42"/>
      <c r="B28" s="77"/>
      <c r="C28" s="15">
        <v>36686</v>
      </c>
      <c r="D28" s="5"/>
      <c r="E28" s="5"/>
      <c r="F28" s="15">
        <v>36687</v>
      </c>
      <c r="G28" s="5"/>
      <c r="H28" s="5"/>
      <c r="I28" s="15">
        <v>36688</v>
      </c>
      <c r="J28" s="5"/>
      <c r="K28" s="5"/>
      <c r="L28" s="15">
        <v>36689</v>
      </c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99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">
      <c r="A29" s="42" t="s">
        <v>13</v>
      </c>
      <c r="B29" s="77" t="s">
        <v>14</v>
      </c>
      <c r="C29" s="15" t="s">
        <v>37</v>
      </c>
      <c r="D29" s="5" t="s">
        <v>40</v>
      </c>
      <c r="E29" s="5" t="s">
        <v>41</v>
      </c>
      <c r="F29" s="15" t="s">
        <v>37</v>
      </c>
      <c r="G29" s="5" t="s">
        <v>40</v>
      </c>
      <c r="H29" s="5" t="s">
        <v>41</v>
      </c>
      <c r="I29" s="15" t="s">
        <v>37</v>
      </c>
      <c r="J29" s="5" t="s">
        <v>40</v>
      </c>
      <c r="K29" s="5" t="s">
        <v>41</v>
      </c>
      <c r="L29" s="15" t="s">
        <v>37</v>
      </c>
      <c r="M29" s="5" t="s">
        <v>40</v>
      </c>
      <c r="N29" s="5" t="s">
        <v>41</v>
      </c>
      <c r="O29" s="10" t="e">
        <f>K29+H29+E29</f>
        <v>#VALUE!</v>
      </c>
      <c r="P29" s="97" t="e">
        <f>O29/(J29+G29+D29+1)</f>
        <v>#VALUE!</v>
      </c>
      <c r="Q29" s="101" t="str">
        <f t="shared" si="2"/>
        <v xml:space="preserve"> </v>
      </c>
      <c r="R29" s="91" t="e">
        <f>IF($C$4="High Inventory",IF(AND(O29&gt;=Summary!$C$106,P29&gt;=Summary!$C$107),"X"," "),IF(AND(O29&lt;=-Summary!$C$106,P29&lt;=-Summary!$C$107),"X"," "))</f>
        <v>#VALUE!</v>
      </c>
      <c r="S29" s="21" t="e">
        <f>IF(AND(L29-I29&gt;=Summary!$C$110,N29-K29&gt;Summary!$C$110,N29&gt;0),"X"," ")</f>
        <v>#VALUE!</v>
      </c>
      <c r="T29" s="99" t="e">
        <f>IF($C$4="High Inventory",IF(AND($O29&gt;=Summary!$C$106,$P29&gt;=0%),"X"," "),IF(AND($O29&lt;=-Summary!$C$106,$P29&lt;=0%),"X"," "))</f>
        <v>#VALUE!</v>
      </c>
      <c r="U29" s="21" t="e">
        <f>IF($C$4="High Inventory",IF(AND($O29&gt;=0,$P29&gt;=Summary!$C$107),"X"," "),IF(AND($O29&lt;=0,$P29&lt;=-Summary!$C$107),"X"," "))</f>
        <v>#VALUE!</v>
      </c>
      <c r="V29" t="e">
        <f t="shared" si="3"/>
        <v>#VALUE!</v>
      </c>
    </row>
    <row r="30" spans="1:22" x14ac:dyDescent="0.2">
      <c r="A30" s="42">
        <v>1117</v>
      </c>
      <c r="B30" s="77" t="s">
        <v>15</v>
      </c>
      <c r="C30" s="10">
        <v>64421</v>
      </c>
      <c r="D30" s="5">
        <v>76330</v>
      </c>
      <c r="E30" s="5">
        <v>-11909</v>
      </c>
      <c r="F30" s="10">
        <v>95049</v>
      </c>
      <c r="G30" s="5">
        <v>62023</v>
      </c>
      <c r="H30" s="5">
        <v>33026</v>
      </c>
      <c r="I30" s="10">
        <v>94184</v>
      </c>
      <c r="J30" s="5">
        <v>55333</v>
      </c>
      <c r="K30" s="5">
        <v>38851</v>
      </c>
      <c r="L30" s="10">
        <v>70721</v>
      </c>
      <c r="M30" s="5">
        <v>69677</v>
      </c>
      <c r="N30" s="5">
        <v>1044</v>
      </c>
      <c r="O30" s="10">
        <f t="shared" si="0"/>
        <v>59968</v>
      </c>
      <c r="P30" s="97">
        <f t="shared" si="1"/>
        <v>0.30961293220505248</v>
      </c>
      <c r="Q30" s="101" t="str">
        <f t="shared" si="2"/>
        <v xml:space="preserve"> </v>
      </c>
      <c r="R30" s="91" t="str">
        <f>IF($C$4="High Inventory",IF(AND(O30&gt;=Summary!$C$106,P30&gt;=Summary!$C$107),"X"," "),IF(AND(O30&lt;=-Summary!$C$106,P30&lt;=-Summary!$C$107),"X"," "))</f>
        <v>X</v>
      </c>
      <c r="S30" s="21" t="str">
        <f>IF(AND(L30-I30&gt;=Summary!$C$110,N30-K30&gt;Summary!$C$110,N30&gt;0),"X"," ")</f>
        <v xml:space="preserve"> </v>
      </c>
      <c r="T30" s="99" t="str">
        <f>IF($C$4="High Inventory",IF(AND($O30&gt;=Summary!$C$106,$P30&gt;=0%),"X"," "),IF(AND($O30&lt;=-Summary!$C$106,$P30&lt;=0%),"X"," "))</f>
        <v>X</v>
      </c>
      <c r="U30" s="21" t="str">
        <f>IF($C$4="High Inventory",IF(AND($O30&gt;=0,$P30&gt;=Summary!$C$107),"X"," "),IF(AND($O30&lt;=0,$P30&lt;=-Summary!$C$107),"X"," "))</f>
        <v>X</v>
      </c>
      <c r="V30" t="str">
        <f t="shared" si="3"/>
        <v xml:space="preserve"> </v>
      </c>
    </row>
    <row r="31" spans="1:22" x14ac:dyDescent="0.2">
      <c r="A31" s="42">
        <v>1126</v>
      </c>
      <c r="B31" s="77" t="s">
        <v>15</v>
      </c>
      <c r="C31" s="10">
        <v>27918</v>
      </c>
      <c r="D31" s="5">
        <v>29383</v>
      </c>
      <c r="E31" s="5">
        <v>-1465</v>
      </c>
      <c r="F31" s="10">
        <v>27918</v>
      </c>
      <c r="G31" s="5">
        <v>27663</v>
      </c>
      <c r="H31" s="5">
        <v>255</v>
      </c>
      <c r="I31" s="10">
        <v>27918</v>
      </c>
      <c r="J31" s="5">
        <v>28040</v>
      </c>
      <c r="K31" s="5">
        <v>-122</v>
      </c>
      <c r="L31" s="10">
        <v>27918</v>
      </c>
      <c r="M31" s="5">
        <v>29458</v>
      </c>
      <c r="N31" s="5">
        <v>-1540</v>
      </c>
      <c r="O31" s="10">
        <f t="shared" si="0"/>
        <v>-1332</v>
      </c>
      <c r="P31" s="97">
        <f t="shared" si="1"/>
        <v>-1.5654565327253282E-2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 xml:space="preserve"> </v>
      </c>
      <c r="S31" s="21" t="str">
        <f>IF(AND(L31-I31&gt;=Summary!$C$110,N31-K31&gt;Summary!$C$110,N31&gt;0),"X"," ")</f>
        <v xml:space="preserve"> </v>
      </c>
      <c r="T31" s="99" t="str">
        <f>IF($C$4="High Inventory",IF(AND($O31&gt;=Summary!$C$106,$P31&gt;=0%),"X"," "),IF(AND($O31&lt;=-Summary!$C$106,$P31&lt;=0%),"X"," "))</f>
        <v xml:space="preserve"> </v>
      </c>
      <c r="U31" s="21" t="str">
        <f>IF($C$4="High Inventory",IF(AND($O31&gt;=0,$P31&gt;=Summary!$C$107),"X"," "),IF(AND($O31&lt;=0,$P31&lt;=-Summary!$C$107),"X"," "))</f>
        <v xml:space="preserve"> </v>
      </c>
      <c r="V31" t="str">
        <f t="shared" si="3"/>
        <v xml:space="preserve"> </v>
      </c>
    </row>
    <row r="32" spans="1:22" x14ac:dyDescent="0.2">
      <c r="A32" s="42">
        <v>1157</v>
      </c>
      <c r="B32" s="77" t="s">
        <v>15</v>
      </c>
      <c r="C32" s="10">
        <v>84084</v>
      </c>
      <c r="D32" s="5">
        <v>90404</v>
      </c>
      <c r="E32" s="5">
        <v>-6320</v>
      </c>
      <c r="F32" s="10">
        <v>73595</v>
      </c>
      <c r="G32" s="5">
        <v>69542</v>
      </c>
      <c r="H32" s="5">
        <v>4053</v>
      </c>
      <c r="I32" s="10">
        <v>74069</v>
      </c>
      <c r="J32" s="5">
        <v>66477</v>
      </c>
      <c r="K32" s="5">
        <v>7592</v>
      </c>
      <c r="L32" s="10">
        <v>74347</v>
      </c>
      <c r="M32" s="5">
        <v>104551</v>
      </c>
      <c r="N32" s="5">
        <v>-30204</v>
      </c>
      <c r="O32" s="10">
        <f t="shared" si="0"/>
        <v>5325</v>
      </c>
      <c r="P32" s="97">
        <f t="shared" si="1"/>
        <v>2.3517824965551354E-2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 xml:space="preserve"> </v>
      </c>
      <c r="S32" s="21" t="str">
        <f>IF(AND(L32-I32&gt;=Summary!$C$110,N32-K32&gt;Summary!$C$110,N32&gt;0),"X"," ")</f>
        <v xml:space="preserve"> </v>
      </c>
      <c r="T32" s="99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 xml:space="preserve"> </v>
      </c>
      <c r="V32" t="str">
        <f t="shared" si="3"/>
        <v xml:space="preserve"> </v>
      </c>
    </row>
    <row r="33" spans="1:22" x14ac:dyDescent="0.2">
      <c r="A33" s="42">
        <v>1281</v>
      </c>
      <c r="B33" s="77" t="s">
        <v>15</v>
      </c>
      <c r="C33" s="10">
        <v>0</v>
      </c>
      <c r="D33" s="5">
        <v>20507</v>
      </c>
      <c r="E33" s="5">
        <v>-20507</v>
      </c>
      <c r="F33" s="10">
        <v>35704</v>
      </c>
      <c r="G33" s="5">
        <v>12852</v>
      </c>
      <c r="H33" s="5">
        <v>22852</v>
      </c>
      <c r="I33" s="10">
        <v>55249</v>
      </c>
      <c r="J33" s="5">
        <v>10741</v>
      </c>
      <c r="K33" s="5">
        <v>44508</v>
      </c>
      <c r="L33" s="10">
        <v>10000</v>
      </c>
      <c r="M33" s="5">
        <v>22027</v>
      </c>
      <c r="N33" s="5">
        <v>-12027</v>
      </c>
      <c r="O33" s="10">
        <f t="shared" si="0"/>
        <v>46853</v>
      </c>
      <c r="P33" s="97">
        <f t="shared" si="1"/>
        <v>1.0624022131017437</v>
      </c>
      <c r="Q33" s="101" t="str">
        <f t="shared" si="2"/>
        <v xml:space="preserve"> 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 xml:space="preserve"> </v>
      </c>
      <c r="T33" s="99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3"/>
        <v xml:space="preserve"> </v>
      </c>
    </row>
    <row r="34" spans="1:22" x14ac:dyDescent="0.2">
      <c r="A34" s="42">
        <v>1340</v>
      </c>
      <c r="B34" s="77" t="s">
        <v>15</v>
      </c>
      <c r="C34" s="10">
        <v>1041</v>
      </c>
      <c r="D34" s="5">
        <v>5536</v>
      </c>
      <c r="E34" s="5">
        <v>-4495</v>
      </c>
      <c r="F34" s="10">
        <v>6818</v>
      </c>
      <c r="G34" s="5">
        <v>3926</v>
      </c>
      <c r="H34" s="5">
        <v>2892</v>
      </c>
      <c r="I34" s="10">
        <v>6818</v>
      </c>
      <c r="J34" s="5">
        <v>4191</v>
      </c>
      <c r="K34" s="5">
        <v>2627</v>
      </c>
      <c r="L34" s="10">
        <v>5717</v>
      </c>
      <c r="M34" s="5">
        <v>5236</v>
      </c>
      <c r="N34" s="5">
        <v>481</v>
      </c>
      <c r="O34" s="10">
        <f t="shared" si="0"/>
        <v>1024</v>
      </c>
      <c r="P34" s="97">
        <f t="shared" si="1"/>
        <v>7.4996338069430207E-2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 xml:space="preserve"> </v>
      </c>
      <c r="T34" s="99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 t="str">
        <f t="shared" si="3"/>
        <v xml:space="preserve"> </v>
      </c>
    </row>
    <row r="35" spans="1:22" x14ac:dyDescent="0.2">
      <c r="A35" s="42">
        <v>1377</v>
      </c>
      <c r="B35" s="77" t="s">
        <v>15</v>
      </c>
      <c r="C35" s="10">
        <v>168871</v>
      </c>
      <c r="D35" s="5">
        <v>110745</v>
      </c>
      <c r="E35" s="5">
        <v>58126</v>
      </c>
      <c r="F35" s="10">
        <v>129449</v>
      </c>
      <c r="G35" s="5">
        <v>107513</v>
      </c>
      <c r="H35" s="5">
        <v>21936</v>
      </c>
      <c r="I35" s="10">
        <v>130564</v>
      </c>
      <c r="J35" s="5">
        <v>105426</v>
      </c>
      <c r="K35" s="5">
        <v>25138</v>
      </c>
      <c r="L35" s="10">
        <v>102131</v>
      </c>
      <c r="M35" s="5">
        <v>111103</v>
      </c>
      <c r="N35" s="5">
        <v>-8972</v>
      </c>
      <c r="O35" s="10">
        <f t="shared" si="0"/>
        <v>105200</v>
      </c>
      <c r="P35" s="97">
        <f t="shared" si="1"/>
        <v>0.32500733738047793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>X</v>
      </c>
      <c r="S35" s="21" t="str">
        <f>IF(AND(L35-I35&gt;=Summary!$C$110,N35-K35&gt;Summary!$C$110,N35&gt;0),"X"," ")</f>
        <v xml:space="preserve"> </v>
      </c>
      <c r="T35" s="99" t="str">
        <f>IF($C$4="High Inventory",IF(AND($O35&gt;=Summary!$C$106,$P35&gt;=0%),"X"," "),IF(AND($O35&lt;=-Summary!$C$106,$P35&lt;=0%),"X"," "))</f>
        <v>X</v>
      </c>
      <c r="U35" s="21" t="str">
        <f>IF($C$4="High Inventory",IF(AND($O35&gt;=0,$P35&gt;=Summary!$C$107),"X"," "),IF(AND($O35&lt;=0,$P35&lt;=-Summary!$C$107),"X"," "))</f>
        <v>X</v>
      </c>
      <c r="V35" t="str">
        <f t="shared" si="3"/>
        <v xml:space="preserve"> </v>
      </c>
    </row>
    <row r="36" spans="1:22" x14ac:dyDescent="0.2">
      <c r="A36" s="42">
        <v>1830</v>
      </c>
      <c r="B36" s="77" t="s">
        <v>15</v>
      </c>
      <c r="C36" s="10">
        <v>942</v>
      </c>
      <c r="D36" s="5">
        <v>1</v>
      </c>
      <c r="E36" s="5">
        <v>941</v>
      </c>
      <c r="F36" s="10">
        <v>0</v>
      </c>
      <c r="G36" s="5">
        <v>1</v>
      </c>
      <c r="H36" s="5">
        <v>-1</v>
      </c>
      <c r="I36" s="10">
        <v>0</v>
      </c>
      <c r="J36" s="5">
        <v>1</v>
      </c>
      <c r="K36" s="5">
        <v>-1</v>
      </c>
      <c r="L36" s="10">
        <v>0</v>
      </c>
      <c r="M36" s="5">
        <v>1</v>
      </c>
      <c r="N36" s="5">
        <v>-1</v>
      </c>
      <c r="O36" s="10">
        <f t="shared" si="0"/>
        <v>939</v>
      </c>
      <c r="P36" s="97">
        <f t="shared" si="1"/>
        <v>234.75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99" t="str">
        <f>IF($C$4="High Inventory",IF(AND($O36&gt;=Summary!$C$106,$P36&gt;=0%),"X"," "),IF(AND($O36&lt;=-Summary!$C$106,$P36&lt;=0%),"X"," "))</f>
        <v xml:space="preserve"> </v>
      </c>
      <c r="U36" s="21" t="str">
        <f>IF($C$4="High Inventory",IF(AND($O36&gt;=0,$P36&gt;=Summary!$C$107),"X"," "),IF(AND($O36&lt;=0,$P36&lt;=-Summary!$C$107),"X"," "))</f>
        <v>X</v>
      </c>
      <c r="V36" t="str">
        <f t="shared" si="3"/>
        <v xml:space="preserve"> </v>
      </c>
    </row>
    <row r="37" spans="1:22" x14ac:dyDescent="0.2">
      <c r="A37" s="42">
        <v>1864</v>
      </c>
      <c r="B37" s="77" t="s">
        <v>15</v>
      </c>
      <c r="C37" s="10">
        <v>456688</v>
      </c>
      <c r="D37" s="5">
        <v>392863</v>
      </c>
      <c r="E37" s="5">
        <v>63825</v>
      </c>
      <c r="F37" s="10">
        <v>385150</v>
      </c>
      <c r="G37" s="5">
        <v>406556</v>
      </c>
      <c r="H37" s="5">
        <v>-21406</v>
      </c>
      <c r="I37" s="10">
        <v>389621</v>
      </c>
      <c r="J37" s="5">
        <v>329051</v>
      </c>
      <c r="K37" s="5">
        <v>60570</v>
      </c>
      <c r="L37" s="10">
        <v>401273</v>
      </c>
      <c r="M37" s="5">
        <v>437559</v>
      </c>
      <c r="N37" s="5">
        <v>-36286</v>
      </c>
      <c r="O37" s="10">
        <f t="shared" si="0"/>
        <v>102989</v>
      </c>
      <c r="P37" s="97">
        <f t="shared" si="1"/>
        <v>9.1264197307684466E-2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99" t="str">
        <f>IF($C$4="High Inventory",IF(AND($O37&gt;=Summary!$C$106,$P37&gt;=0%),"X"," "),IF(AND($O37&lt;=-Summary!$C$106,$P37&lt;=0%),"X"," "))</f>
        <v>X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">
      <c r="A38" s="42">
        <v>1922</v>
      </c>
      <c r="B38" s="77" t="s">
        <v>15</v>
      </c>
      <c r="C38" s="10">
        <v>47638</v>
      </c>
      <c r="D38" s="5">
        <v>55818</v>
      </c>
      <c r="E38" s="5">
        <v>-8180</v>
      </c>
      <c r="F38" s="10">
        <v>84160</v>
      </c>
      <c r="G38" s="5">
        <v>46625</v>
      </c>
      <c r="H38" s="5">
        <v>37535</v>
      </c>
      <c r="I38" s="10">
        <v>93578</v>
      </c>
      <c r="J38" s="5">
        <v>45396</v>
      </c>
      <c r="K38" s="5">
        <v>48182</v>
      </c>
      <c r="L38" s="10">
        <v>37774</v>
      </c>
      <c r="M38" s="5">
        <v>57201</v>
      </c>
      <c r="N38" s="5">
        <v>-19427</v>
      </c>
      <c r="O38" s="10">
        <f t="shared" si="0"/>
        <v>77537</v>
      </c>
      <c r="P38" s="97">
        <f t="shared" si="1"/>
        <v>0.52446563852813854</v>
      </c>
      <c r="Q38" s="101" t="str">
        <f t="shared" si="2"/>
        <v xml:space="preserve"> </v>
      </c>
      <c r="R38" s="91" t="str">
        <f>IF($C$4="High Inventory",IF(AND(O38&gt;=Summary!$C$106,P38&gt;=Summary!$C$107),"X"," "),IF(AND(O38&lt;=-Summary!$C$106,P38&lt;=-Summary!$C$107),"X"," "))</f>
        <v>X</v>
      </c>
      <c r="S38" s="21" t="str">
        <f>IF(AND(L38-I38&gt;=Summary!$C$110,N38-K38&gt;Summary!$C$110,N38&gt;0),"X"," ")</f>
        <v xml:space="preserve"> </v>
      </c>
      <c r="T38" s="99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>X</v>
      </c>
      <c r="V38" t="str">
        <f t="shared" si="3"/>
        <v xml:space="preserve"> </v>
      </c>
    </row>
    <row r="39" spans="1:22" x14ac:dyDescent="0.2">
      <c r="A39" s="42">
        <v>1928</v>
      </c>
      <c r="B39" s="77" t="s">
        <v>15</v>
      </c>
      <c r="C39" s="10">
        <v>21084</v>
      </c>
      <c r="D39" s="5">
        <v>16373</v>
      </c>
      <c r="E39" s="5">
        <v>4711</v>
      </c>
      <c r="F39" s="10">
        <v>16084</v>
      </c>
      <c r="G39" s="5">
        <v>14290</v>
      </c>
      <c r="H39" s="5">
        <v>1794</v>
      </c>
      <c r="I39" s="10">
        <v>16084</v>
      </c>
      <c r="J39" s="5">
        <v>14007</v>
      </c>
      <c r="K39" s="5">
        <v>2077</v>
      </c>
      <c r="L39" s="10">
        <v>14111</v>
      </c>
      <c r="M39" s="5">
        <v>17152</v>
      </c>
      <c r="N39" s="5">
        <v>-3041</v>
      </c>
      <c r="O39" s="10">
        <f t="shared" si="0"/>
        <v>8582</v>
      </c>
      <c r="P39" s="97">
        <f t="shared" si="1"/>
        <v>0.19211569026885453</v>
      </c>
      <c r="Q39" s="101" t="str">
        <f t="shared" si="2"/>
        <v xml:space="preserve"> </v>
      </c>
      <c r="R39" s="91" t="str">
        <f>IF($C$4="High Inventory",IF(AND(O39&gt;=Summary!$C$106,P39&gt;=Summary!$C$107),"X"," "),IF(AND(O39&lt;=-Summary!$C$106,P39&lt;=-Summary!$C$107),"X"," "))</f>
        <v>X</v>
      </c>
      <c r="S39" s="21" t="str">
        <f>IF(AND(L39-I39&gt;=Summary!$C$110,N39-K39&gt;Summary!$C$110,N39&gt;0),"X"," ")</f>
        <v xml:space="preserve"> </v>
      </c>
      <c r="T39" s="99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3"/>
        <v xml:space="preserve"> </v>
      </c>
    </row>
    <row r="40" spans="1:22" x14ac:dyDescent="0.2">
      <c r="A40" s="42">
        <v>2056</v>
      </c>
      <c r="B40" s="77" t="s">
        <v>15</v>
      </c>
      <c r="C40" s="10">
        <v>89969</v>
      </c>
      <c r="D40" s="5">
        <v>74390</v>
      </c>
      <c r="E40" s="5">
        <v>15579</v>
      </c>
      <c r="F40" s="10">
        <v>74969</v>
      </c>
      <c r="G40" s="5">
        <v>73750</v>
      </c>
      <c r="H40" s="5">
        <v>1219</v>
      </c>
      <c r="I40" s="10">
        <v>74969</v>
      </c>
      <c r="J40" s="5">
        <v>75239</v>
      </c>
      <c r="K40" s="5">
        <v>-270</v>
      </c>
      <c r="L40" s="10">
        <v>70988</v>
      </c>
      <c r="M40" s="5">
        <v>72552</v>
      </c>
      <c r="N40" s="5">
        <v>-1564</v>
      </c>
      <c r="O40" s="10">
        <f t="shared" si="0"/>
        <v>16528</v>
      </c>
      <c r="P40" s="97">
        <f t="shared" si="1"/>
        <v>7.3990509445787445E-2</v>
      </c>
      <c r="Q40" s="101" t="str">
        <f t="shared" si="2"/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99" t="str">
        <f>IF($C$4="High Inventory",IF(AND($O40&gt;=Summary!$C$106,$P40&gt;=0%),"X"," "),IF(AND($O40&lt;=-Summary!$C$106,$P40&lt;=0%),"X"," "))</f>
        <v>X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">
      <c r="A41" s="42">
        <v>2280</v>
      </c>
      <c r="B41" s="77" t="s">
        <v>15</v>
      </c>
      <c r="C41" s="10">
        <v>7900</v>
      </c>
      <c r="D41" s="5">
        <v>9831</v>
      </c>
      <c r="E41" s="5">
        <v>-1931</v>
      </c>
      <c r="F41" s="10">
        <v>7900</v>
      </c>
      <c r="G41" s="5">
        <v>5151</v>
      </c>
      <c r="H41" s="5">
        <v>2749</v>
      </c>
      <c r="I41" s="10">
        <v>7900</v>
      </c>
      <c r="J41" s="5">
        <v>4826</v>
      </c>
      <c r="K41" s="5">
        <v>3074</v>
      </c>
      <c r="L41" s="10">
        <v>7200</v>
      </c>
      <c r="M41" s="5">
        <v>9400</v>
      </c>
      <c r="N41" s="5">
        <v>-2200</v>
      </c>
      <c r="O41" s="10">
        <f t="shared" si="0"/>
        <v>3892</v>
      </c>
      <c r="P41" s="97">
        <f t="shared" si="1"/>
        <v>0.19647634913423193</v>
      </c>
      <c r="Q41" s="101" t="str">
        <f t="shared" si="2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99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>X</v>
      </c>
      <c r="V41" t="str">
        <f t="shared" si="3"/>
        <v xml:space="preserve"> </v>
      </c>
    </row>
    <row r="42" spans="1:22" x14ac:dyDescent="0.2">
      <c r="A42" s="42">
        <v>2584</v>
      </c>
      <c r="B42" s="77" t="s">
        <v>15</v>
      </c>
      <c r="C42" s="10">
        <v>44909</v>
      </c>
      <c r="D42" s="5">
        <v>62674</v>
      </c>
      <c r="E42" s="5">
        <v>-17765</v>
      </c>
      <c r="F42" s="10">
        <v>44906</v>
      </c>
      <c r="G42" s="5">
        <v>49194</v>
      </c>
      <c r="H42" s="5">
        <v>-4288</v>
      </c>
      <c r="I42" s="10">
        <v>44906</v>
      </c>
      <c r="J42" s="5">
        <v>44267</v>
      </c>
      <c r="K42" s="5">
        <v>639</v>
      </c>
      <c r="L42" s="10">
        <v>46678</v>
      </c>
      <c r="M42" s="5">
        <v>61140</v>
      </c>
      <c r="N42" s="5">
        <v>-14462</v>
      </c>
      <c r="O42" s="10">
        <f t="shared" si="0"/>
        <v>-21414</v>
      </c>
      <c r="P42" s="97">
        <f t="shared" si="1"/>
        <v>-0.1371496643951427</v>
      </c>
      <c r="Q42" s="101" t="str">
        <f t="shared" si="2"/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99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">
      <c r="A43" s="42">
        <v>2771</v>
      </c>
      <c r="B43" s="77" t="s">
        <v>15</v>
      </c>
      <c r="C43" s="10">
        <v>29347</v>
      </c>
      <c r="D43" s="5">
        <v>34000</v>
      </c>
      <c r="E43" s="5">
        <v>-4653</v>
      </c>
      <c r="F43" s="10">
        <v>3164</v>
      </c>
      <c r="G43" s="5">
        <v>21602</v>
      </c>
      <c r="H43" s="5">
        <v>-18438</v>
      </c>
      <c r="I43" s="10">
        <v>12861</v>
      </c>
      <c r="J43" s="5">
        <v>20629</v>
      </c>
      <c r="K43" s="5">
        <v>-7768</v>
      </c>
      <c r="L43" s="10">
        <v>21978</v>
      </c>
      <c r="M43" s="5">
        <v>44302</v>
      </c>
      <c r="N43" s="5">
        <v>-22324</v>
      </c>
      <c r="O43" s="10">
        <f t="shared" si="0"/>
        <v>-30859</v>
      </c>
      <c r="P43" s="97">
        <f t="shared" si="1"/>
        <v>-0.4048037569524609</v>
      </c>
      <c r="Q43" s="101" t="str">
        <f t="shared" si="2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99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">
      <c r="A44" s="42">
        <v>2832</v>
      </c>
      <c r="B44" s="77" t="s">
        <v>15</v>
      </c>
      <c r="C44" s="10">
        <v>7124</v>
      </c>
      <c r="D44" s="5">
        <v>5040</v>
      </c>
      <c r="E44" s="5">
        <v>2084</v>
      </c>
      <c r="F44" s="10">
        <v>7124</v>
      </c>
      <c r="G44" s="5">
        <v>3021</v>
      </c>
      <c r="H44" s="5">
        <v>4103</v>
      </c>
      <c r="I44" s="10">
        <v>7124</v>
      </c>
      <c r="J44" s="5">
        <v>2708</v>
      </c>
      <c r="K44" s="5">
        <v>4416</v>
      </c>
      <c r="L44" s="10">
        <v>4259</v>
      </c>
      <c r="M44" s="5">
        <v>4040</v>
      </c>
      <c r="N44" s="5">
        <v>219</v>
      </c>
      <c r="O44" s="10">
        <f t="shared" si="0"/>
        <v>10603</v>
      </c>
      <c r="P44" s="97">
        <f t="shared" si="1"/>
        <v>0.98449396471680595</v>
      </c>
      <c r="Q44" s="101" t="str">
        <f t="shared" si="2"/>
        <v xml:space="preserve"> 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99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4"/>
        <v xml:space="preserve"> </v>
      </c>
    </row>
    <row r="45" spans="1:22" x14ac:dyDescent="0.2">
      <c r="A45" s="42">
        <v>2892</v>
      </c>
      <c r="B45" s="77" t="s">
        <v>15</v>
      </c>
      <c r="C45" s="10">
        <v>147</v>
      </c>
      <c r="D45" s="5">
        <v>221</v>
      </c>
      <c r="E45" s="5">
        <v>-74</v>
      </c>
      <c r="F45" s="10">
        <v>170</v>
      </c>
      <c r="G45" s="5">
        <v>215</v>
      </c>
      <c r="H45" s="5">
        <v>-45</v>
      </c>
      <c r="I45" s="10">
        <v>153</v>
      </c>
      <c r="J45" s="5">
        <v>205</v>
      </c>
      <c r="K45" s="5">
        <v>-52</v>
      </c>
      <c r="L45" s="10">
        <v>154</v>
      </c>
      <c r="M45" s="5">
        <v>179</v>
      </c>
      <c r="N45" s="5">
        <v>-25</v>
      </c>
      <c r="O45" s="10">
        <f t="shared" si="0"/>
        <v>-171</v>
      </c>
      <c r="P45" s="97">
        <f t="shared" si="1"/>
        <v>-0.26635514018691586</v>
      </c>
      <c r="Q45" s="101" t="str">
        <f t="shared" si="2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99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">
      <c r="A46" s="42">
        <v>3015</v>
      </c>
      <c r="B46" s="77" t="s">
        <v>15</v>
      </c>
      <c r="C46" s="10">
        <v>23030</v>
      </c>
      <c r="D46" s="5">
        <v>21227</v>
      </c>
      <c r="E46" s="5">
        <v>1803</v>
      </c>
      <c r="F46" s="10">
        <v>23030</v>
      </c>
      <c r="G46" s="5">
        <v>19541</v>
      </c>
      <c r="H46" s="5">
        <v>3489</v>
      </c>
      <c r="I46" s="10">
        <v>23030</v>
      </c>
      <c r="J46" s="5">
        <v>18811</v>
      </c>
      <c r="K46" s="5">
        <v>4219</v>
      </c>
      <c r="L46" s="10">
        <v>23030</v>
      </c>
      <c r="M46" s="5">
        <v>21021</v>
      </c>
      <c r="N46" s="5">
        <v>2009</v>
      </c>
      <c r="O46" s="10">
        <f t="shared" si="0"/>
        <v>9511</v>
      </c>
      <c r="P46" s="97">
        <f t="shared" si="1"/>
        <v>0.15963410540449816</v>
      </c>
      <c r="Q46" s="101" t="str">
        <f t="shared" si="2"/>
        <v xml:space="preserve"> </v>
      </c>
      <c r="R46" s="91" t="str">
        <f>IF($C$4="High Inventory",IF(AND(O46&gt;=Summary!$C$106,P46&gt;=Summary!$C$107),"X"," "),IF(AND(O46&lt;=-Summary!$C$106,P46&lt;=-Summary!$C$107),"X"," "))</f>
        <v>X</v>
      </c>
      <c r="S46" s="21" t="str">
        <f>IF(AND(L46-I46&gt;=Summary!$C$110,N46-K46&gt;Summary!$C$110,N46&gt;0),"X"," ")</f>
        <v xml:space="preserve"> </v>
      </c>
      <c r="T46" s="99" t="str">
        <f>IF($C$4="High Inventory",IF(AND($O46&gt;=Summary!$C$106,$P46&gt;=0%),"X"," "),IF(AND($O46&lt;=-Summary!$C$106,$P46&lt;=0%),"X"," "))</f>
        <v>X</v>
      </c>
      <c r="U46" s="21" t="str">
        <f>IF($C$4="High Inventory",IF(AND($O46&gt;=0,$P46&gt;=Summary!$C$107),"X"," "),IF(AND($O46&lt;=0,$P46&lt;=-Summary!$C$107),"X"," "))</f>
        <v>X</v>
      </c>
      <c r="V46" t="str">
        <f t="shared" si="4"/>
        <v xml:space="preserve"> </v>
      </c>
    </row>
    <row r="47" spans="1:22" x14ac:dyDescent="0.2">
      <c r="A47" s="42">
        <v>4303</v>
      </c>
      <c r="B47" s="77" t="s">
        <v>15</v>
      </c>
      <c r="C47" s="10">
        <v>2827</v>
      </c>
      <c r="D47" s="5">
        <v>3527</v>
      </c>
      <c r="E47" s="5">
        <v>-700</v>
      </c>
      <c r="F47" s="10">
        <v>2827</v>
      </c>
      <c r="G47" s="5">
        <v>2454</v>
      </c>
      <c r="H47" s="5">
        <v>373</v>
      </c>
      <c r="I47" s="10">
        <v>2827</v>
      </c>
      <c r="J47" s="5">
        <v>2175</v>
      </c>
      <c r="K47" s="5">
        <v>652</v>
      </c>
      <c r="L47" s="10">
        <v>2427</v>
      </c>
      <c r="M47" s="5">
        <v>3096</v>
      </c>
      <c r="N47" s="5">
        <v>-669</v>
      </c>
      <c r="O47" s="10">
        <f t="shared" si="0"/>
        <v>325</v>
      </c>
      <c r="P47" s="97">
        <f t="shared" si="1"/>
        <v>3.9843079563565038E-2</v>
      </c>
      <c r="Q47" s="101" t="str">
        <f t="shared" si="2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99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">
      <c r="A48" s="42">
        <v>4438</v>
      </c>
      <c r="B48" s="77" t="s">
        <v>15</v>
      </c>
      <c r="C48" s="10">
        <v>55429</v>
      </c>
      <c r="D48" s="5">
        <v>60926</v>
      </c>
      <c r="E48" s="5">
        <v>-5497</v>
      </c>
      <c r="F48" s="10">
        <v>58289</v>
      </c>
      <c r="G48" s="5">
        <v>51829</v>
      </c>
      <c r="H48" s="5">
        <v>6460</v>
      </c>
      <c r="I48" s="10">
        <v>56119</v>
      </c>
      <c r="J48" s="5">
        <v>57807</v>
      </c>
      <c r="K48" s="5">
        <v>-1688</v>
      </c>
      <c r="L48" s="10">
        <v>56325</v>
      </c>
      <c r="M48" s="5">
        <v>61638</v>
      </c>
      <c r="N48" s="5">
        <v>-5313</v>
      </c>
      <c r="O48" s="10">
        <f t="shared" si="0"/>
        <v>-725</v>
      </c>
      <c r="P48" s="97">
        <f t="shared" si="1"/>
        <v>-4.2506287999155741E-3</v>
      </c>
      <c r="Q48" s="101" t="str">
        <f t="shared" si="2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99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4"/>
        <v xml:space="preserve"> </v>
      </c>
    </row>
    <row r="49" spans="1:22" x14ac:dyDescent="0.2">
      <c r="A49" s="42">
        <v>4760</v>
      </c>
      <c r="B49" s="77" t="s">
        <v>15</v>
      </c>
      <c r="C49" s="10">
        <v>280774</v>
      </c>
      <c r="D49" s="5">
        <v>237985</v>
      </c>
      <c r="E49" s="5">
        <v>42789</v>
      </c>
      <c r="F49" s="10">
        <v>229259</v>
      </c>
      <c r="G49" s="5">
        <v>140915</v>
      </c>
      <c r="H49" s="5">
        <v>88344</v>
      </c>
      <c r="I49" s="10">
        <v>176298</v>
      </c>
      <c r="J49" s="5">
        <v>127795</v>
      </c>
      <c r="K49" s="5">
        <v>48503</v>
      </c>
      <c r="L49" s="10">
        <v>176298</v>
      </c>
      <c r="M49" s="5">
        <v>285116</v>
      </c>
      <c r="N49" s="5">
        <v>-108818</v>
      </c>
      <c r="O49" s="10">
        <f t="shared" si="0"/>
        <v>179636</v>
      </c>
      <c r="P49" s="97">
        <f t="shared" si="1"/>
        <v>0.3545242117561615</v>
      </c>
      <c r="Q49" s="101" t="str">
        <f t="shared" si="2"/>
        <v xml:space="preserve"> </v>
      </c>
      <c r="R49" s="91" t="str">
        <f>IF($C$4="High Inventory",IF(AND(O49&gt;=Summary!$C$106,P49&gt;=Summary!$C$107),"X"," "),IF(AND(O49&lt;=-Summary!$C$106,P49&lt;=-Summary!$C$107),"X"," "))</f>
        <v>X</v>
      </c>
      <c r="S49" s="21" t="str">
        <f>IF(AND(L49-I49&gt;=Summary!$C$110,N49-K49&gt;Summary!$C$110,N49&gt;0),"X"," ")</f>
        <v xml:space="preserve"> </v>
      </c>
      <c r="T49" s="99" t="str">
        <f>IF($C$4="High Inventory",IF(AND($O49&gt;=Summary!$C$106,$P49&gt;=0%),"X"," "),IF(AND($O49&lt;=-Summary!$C$106,$P49&lt;=0%),"X"," "))</f>
        <v>X</v>
      </c>
      <c r="U49" s="21" t="str">
        <f>IF($C$4="High Inventory",IF(AND($O49&gt;=0,$P49&gt;=Summary!$C$107),"X"," "),IF(AND($O49&lt;=0,$P49&lt;=-Summary!$C$107),"X"," "))</f>
        <v>X</v>
      </c>
      <c r="V49" t="str">
        <f t="shared" si="4"/>
        <v xml:space="preserve"> </v>
      </c>
    </row>
    <row r="50" spans="1:22" x14ac:dyDescent="0.2">
      <c r="A50" s="42">
        <v>6084</v>
      </c>
      <c r="B50" s="77" t="s">
        <v>15</v>
      </c>
      <c r="C50" s="10">
        <v>0</v>
      </c>
      <c r="D50" s="5">
        <v>7</v>
      </c>
      <c r="E50" s="5">
        <v>-7</v>
      </c>
      <c r="F50" s="10">
        <v>0</v>
      </c>
      <c r="G50" s="5">
        <v>4</v>
      </c>
      <c r="H50" s="5">
        <v>-4</v>
      </c>
      <c r="I50" s="10">
        <v>0</v>
      </c>
      <c r="J50" s="5">
        <v>0</v>
      </c>
      <c r="K50" s="5">
        <v>0</v>
      </c>
      <c r="L50" s="10">
        <v>0</v>
      </c>
      <c r="M50" s="5">
        <v>17</v>
      </c>
      <c r="N50" s="5">
        <v>-17</v>
      </c>
      <c r="O50" s="10">
        <f t="shared" si="0"/>
        <v>-11</v>
      </c>
      <c r="P50" s="97">
        <f t="shared" si="1"/>
        <v>-0.91666666666666663</v>
      </c>
      <c r="Q50" s="101" t="str">
        <f t="shared" si="2"/>
        <v xml:space="preserve"> 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99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">
      <c r="A51" s="42">
        <v>6728</v>
      </c>
      <c r="B51" s="77" t="s">
        <v>15</v>
      </c>
      <c r="C51" s="10">
        <v>12000</v>
      </c>
      <c r="D51" s="5">
        <v>12072</v>
      </c>
      <c r="E51" s="5">
        <v>-72</v>
      </c>
      <c r="F51" s="10">
        <v>12000</v>
      </c>
      <c r="G51" s="5">
        <v>11901</v>
      </c>
      <c r="H51" s="5">
        <v>99</v>
      </c>
      <c r="I51" s="10">
        <v>12000</v>
      </c>
      <c r="J51" s="5">
        <v>11443</v>
      </c>
      <c r="K51" s="5">
        <v>557</v>
      </c>
      <c r="L51" s="10">
        <v>12000</v>
      </c>
      <c r="M51" s="5">
        <v>11712</v>
      </c>
      <c r="N51" s="5">
        <v>288</v>
      </c>
      <c r="O51" s="10">
        <f t="shared" si="0"/>
        <v>584</v>
      </c>
      <c r="P51" s="97">
        <f t="shared" si="1"/>
        <v>1.6489256571702856E-2</v>
      </c>
      <c r="Q51" s="101" t="str">
        <f t="shared" si="2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99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">
      <c r="A52" s="42">
        <v>12296</v>
      </c>
      <c r="B52" s="77" t="s">
        <v>15</v>
      </c>
      <c r="C52" s="10">
        <v>28231</v>
      </c>
      <c r="D52" s="5">
        <v>30240</v>
      </c>
      <c r="E52" s="5">
        <v>-2009</v>
      </c>
      <c r="F52" s="10">
        <v>28231</v>
      </c>
      <c r="G52" s="5">
        <v>27061</v>
      </c>
      <c r="H52" s="5">
        <v>1170</v>
      </c>
      <c r="I52" s="10">
        <v>28231</v>
      </c>
      <c r="J52" s="5">
        <v>26310</v>
      </c>
      <c r="K52" s="5">
        <v>1921</v>
      </c>
      <c r="L52" s="10">
        <v>27943</v>
      </c>
      <c r="M52" s="5">
        <v>30047</v>
      </c>
      <c r="N52" s="5">
        <v>-2104</v>
      </c>
      <c r="O52" s="10">
        <f t="shared" si="0"/>
        <v>1082</v>
      </c>
      <c r="P52" s="97">
        <f t="shared" si="1"/>
        <v>1.2940726211548582E-2</v>
      </c>
      <c r="Q52" s="101" t="str">
        <f t="shared" si="2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21" t="str">
        <f>IF(AND(L52-I52&gt;=Summary!$C$110,N52-K52&gt;Summary!$C$110,N52&gt;0),"X"," ")</f>
        <v xml:space="preserve"> </v>
      </c>
      <c r="T52" s="99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t="str">
        <f t="shared" si="4"/>
        <v xml:space="preserve"> </v>
      </c>
    </row>
    <row r="53" spans="1:22" hidden="1" x14ac:dyDescent="0.2">
      <c r="A53" s="42"/>
      <c r="B53" s="77"/>
      <c r="C53" s="10"/>
      <c r="D53" s="5"/>
      <c r="E53" s="5"/>
      <c r="F53" s="10"/>
      <c r="G53" s="5"/>
      <c r="H53" s="5"/>
      <c r="I53" s="10"/>
      <c r="J53" s="5"/>
      <c r="K53" s="5"/>
      <c r="L53" s="10"/>
      <c r="M53" s="5"/>
      <c r="N53" s="5"/>
      <c r="O53" s="10">
        <f t="shared" si="0"/>
        <v>0</v>
      </c>
      <c r="P53" s="97">
        <f t="shared" si="1"/>
        <v>0</v>
      </c>
      <c r="Q53" s="101" t="str">
        <f t="shared" si="2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99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hidden="1" x14ac:dyDescent="0.2">
      <c r="A54" s="42"/>
      <c r="B54" s="77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si="0"/>
        <v>0</v>
      </c>
      <c r="P54" s="97">
        <f t="shared" si="1"/>
        <v>0</v>
      </c>
      <c r="Q54" s="101" t="str">
        <f t="shared" si="2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99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4"/>
        <v xml:space="preserve"> </v>
      </c>
    </row>
    <row r="55" spans="1:22" hidden="1" x14ac:dyDescent="0.2">
      <c r="A55" s="42"/>
      <c r="B55" s="77"/>
      <c r="C55" s="15">
        <v>36686</v>
      </c>
      <c r="D55" s="5"/>
      <c r="E55" s="5"/>
      <c r="F55" s="15">
        <v>36687</v>
      </c>
      <c r="G55" s="5"/>
      <c r="H55" s="5"/>
      <c r="I55" s="15">
        <v>36688</v>
      </c>
      <c r="J55" s="5"/>
      <c r="K55" s="5"/>
      <c r="L55" s="15">
        <v>36689</v>
      </c>
      <c r="M55" s="5"/>
      <c r="N55" s="5"/>
      <c r="O55" s="10">
        <f t="shared" si="0"/>
        <v>0</v>
      </c>
      <c r="P55" s="97">
        <f t="shared" si="1"/>
        <v>0</v>
      </c>
      <c r="Q55" s="101" t="str">
        <f t="shared" si="2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99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">
      <c r="A56" s="42" t="s">
        <v>6</v>
      </c>
      <c r="B56" s="77" t="s">
        <v>7</v>
      </c>
      <c r="C56" s="10" t="s">
        <v>37</v>
      </c>
      <c r="D56" s="5" t="s">
        <v>40</v>
      </c>
      <c r="E56" s="6" t="s">
        <v>41</v>
      </c>
      <c r="F56" s="10" t="s">
        <v>37</v>
      </c>
      <c r="G56" s="5" t="s">
        <v>40</v>
      </c>
      <c r="H56" s="6" t="s">
        <v>41</v>
      </c>
      <c r="I56" s="10" t="s">
        <v>37</v>
      </c>
      <c r="J56" s="5" t="s">
        <v>40</v>
      </c>
      <c r="K56" s="6" t="s">
        <v>41</v>
      </c>
      <c r="L56" s="10" t="s">
        <v>37</v>
      </c>
      <c r="M56" s="5" t="s">
        <v>40</v>
      </c>
      <c r="N56" s="6" t="s">
        <v>41</v>
      </c>
      <c r="O56" s="10" t="e">
        <f t="shared" si="0"/>
        <v>#VALUE!</v>
      </c>
      <c r="P56" s="97" t="e">
        <f t="shared" si="1"/>
        <v>#VALUE!</v>
      </c>
      <c r="Q56" s="101" t="str">
        <f t="shared" si="2"/>
        <v xml:space="preserve"> </v>
      </c>
      <c r="R56" s="91" t="e">
        <f>IF($C$4="High Inventory",IF(AND(O56&gt;=Summary!$C$106,P56&gt;=Summary!$C$107),"X"," "),IF(AND(O56&lt;=-Summary!$C$106,P56&lt;=-Summary!$C$107),"X"," "))</f>
        <v>#VALUE!</v>
      </c>
      <c r="S56" s="21" t="e">
        <f>IF(AND(L56-I56&gt;=Summary!$C$110,N56-K56&gt;Summary!$C$110,N56&gt;0),"X"," ")</f>
        <v>#VALUE!</v>
      </c>
      <c r="T56" s="99" t="e">
        <f>IF($C$4="High Inventory",IF(AND($O56&gt;=Summary!$C$106,$P56&gt;=0%),"X"," "),IF(AND($O56&lt;=-Summary!$C$106,$P56&lt;=0%),"X"," "))</f>
        <v>#VALUE!</v>
      </c>
      <c r="U56" s="21" t="e">
        <f>IF($C$4="High Inventory",IF(AND($O56&gt;=0,$P56&gt;=Summary!$C$107),"X"," "),IF(AND($O56&lt;=0,$P56&lt;=-Summary!$C$107),"X"," "))</f>
        <v>#VALUE!</v>
      </c>
      <c r="V56" t="e">
        <f t="shared" si="4"/>
        <v>#VALUE!</v>
      </c>
    </row>
    <row r="57" spans="1:22" x14ac:dyDescent="0.2">
      <c r="A57" s="42">
        <v>51</v>
      </c>
      <c r="B57" s="77" t="s">
        <v>17</v>
      </c>
      <c r="C57" s="10">
        <v>12123</v>
      </c>
      <c r="D57" s="5">
        <v>9715</v>
      </c>
      <c r="E57" s="5">
        <v>2408</v>
      </c>
      <c r="F57" s="10">
        <v>12123</v>
      </c>
      <c r="G57" s="5">
        <v>7254</v>
      </c>
      <c r="H57" s="5">
        <v>4869</v>
      </c>
      <c r="I57" s="10">
        <v>12123</v>
      </c>
      <c r="J57" s="5">
        <v>8751</v>
      </c>
      <c r="K57" s="5">
        <v>3372</v>
      </c>
      <c r="L57" s="10">
        <v>12123</v>
      </c>
      <c r="M57" s="5">
        <v>8624</v>
      </c>
      <c r="N57" s="5">
        <v>3499</v>
      </c>
      <c r="O57" s="10">
        <f t="shared" ref="O57:O74" si="5">K57+H57+E57</f>
        <v>10649</v>
      </c>
      <c r="P57" s="97">
        <f t="shared" ref="P57:P74" si="6">O57/(J57+G57+D57+1)</f>
        <v>0.41401967264103262</v>
      </c>
      <c r="Q57" s="101" t="str">
        <f t="shared" si="2"/>
        <v xml:space="preserve"> </v>
      </c>
      <c r="R57" s="91" t="str">
        <f>IF($C$4="High Inventory",IF(AND(O57&gt;=Summary!$C$106,P57&gt;=Summary!$C$107),"X"," "),IF(AND(O57&lt;=-Summary!$C$106,P57&lt;=-Summary!$C$107),"X"," "))</f>
        <v>X</v>
      </c>
      <c r="S57" s="21" t="str">
        <f>IF(AND(L57-I57&gt;=Summary!$C$110,N57-K57&gt;Summary!$C$110,N57&gt;0),"X"," ")</f>
        <v xml:space="preserve"> </v>
      </c>
      <c r="T57" s="99" t="str">
        <f>IF($C$4="High Inventory",IF(AND($O57&gt;=Summary!$C$106,$P57&gt;=0%),"X"," "),IF(AND($O57&lt;=-Summary!$C$106,$P57&lt;=0%),"X"," "))</f>
        <v>X</v>
      </c>
      <c r="U57" s="21" t="str">
        <f>IF($C$4="High Inventory",IF(AND($O57&gt;=0,$P57&gt;=Summary!$C$107),"X"," "),IF(AND($O57&lt;=0,$P57&lt;=-Summary!$C$107),"X"," "))</f>
        <v>X</v>
      </c>
      <c r="V57" t="str">
        <f t="shared" si="4"/>
        <v xml:space="preserve"> </v>
      </c>
    </row>
    <row r="58" spans="1:22" x14ac:dyDescent="0.2">
      <c r="A58" s="42">
        <v>201</v>
      </c>
      <c r="B58" s="77" t="s">
        <v>17</v>
      </c>
      <c r="C58" s="10">
        <v>0</v>
      </c>
      <c r="D58" s="5">
        <v>118</v>
      </c>
      <c r="E58" s="5">
        <v>-118</v>
      </c>
      <c r="F58" s="10">
        <v>0</v>
      </c>
      <c r="G58" s="5">
        <v>10</v>
      </c>
      <c r="H58" s="5">
        <v>-10</v>
      </c>
      <c r="I58" s="10">
        <v>0</v>
      </c>
      <c r="J58" s="5">
        <v>14</v>
      </c>
      <c r="K58" s="5">
        <v>-14</v>
      </c>
      <c r="L58" s="10">
        <v>0</v>
      </c>
      <c r="M58" s="5">
        <v>154</v>
      </c>
      <c r="N58" s="5">
        <v>-154</v>
      </c>
      <c r="O58" s="10">
        <f t="shared" si="5"/>
        <v>-142</v>
      </c>
      <c r="P58" s="97">
        <f t="shared" si="6"/>
        <v>-0.99300699300699302</v>
      </c>
      <c r="Q58" s="101" t="str">
        <f t="shared" si="2"/>
        <v xml:space="preserve"> </v>
      </c>
      <c r="R58" s="91" t="str">
        <f>IF($C$4="High Inventory",IF(AND(O58&gt;=Summary!$C$106,P58&gt;=Summary!$C$107),"X"," "),IF(AND(O58&lt;=-Summary!$C$106,P58&lt;=-Summary!$C$107),"X"," "))</f>
        <v xml:space="preserve"> </v>
      </c>
      <c r="S58" s="21" t="str">
        <f>IF(AND(L58-I58&gt;=Summary!$C$110,N58-K58&gt;Summary!$C$110,N58&gt;0),"X"," ")</f>
        <v xml:space="preserve"> </v>
      </c>
      <c r="T58" s="99" t="str">
        <f>IF($C$4="High Inventory",IF(AND($O58&gt;=Summary!$C$106,$P58&gt;=0%),"X"," "),IF(AND($O58&lt;=-Summary!$C$106,$P58&lt;=0%),"X"," "))</f>
        <v xml:space="preserve"> </v>
      </c>
      <c r="U58" s="21" t="str">
        <f>IF($C$4="High Inventory",IF(AND($O58&gt;=0,$P58&gt;=Summary!$C$107),"X"," "),IF(AND($O58&lt;=0,$P58&lt;=-Summary!$C$107),"X"," "))</f>
        <v xml:space="preserve"> </v>
      </c>
      <c r="V58" t="str">
        <f t="shared" si="4"/>
        <v xml:space="preserve"> </v>
      </c>
    </row>
    <row r="59" spans="1:22" x14ac:dyDescent="0.2">
      <c r="A59" s="42">
        <v>282</v>
      </c>
      <c r="B59" s="77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5"/>
        <v>0</v>
      </c>
      <c r="P59" s="97">
        <f t="shared" si="6"/>
        <v>0</v>
      </c>
      <c r="Q59" s="101" t="str">
        <f t="shared" si="2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99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4"/>
        <v xml:space="preserve"> </v>
      </c>
    </row>
    <row r="60" spans="1:22" x14ac:dyDescent="0.2">
      <c r="A60" s="42">
        <v>289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si="5"/>
        <v>0</v>
      </c>
      <c r="P60" s="97">
        <f t="shared" si="6"/>
        <v>0</v>
      </c>
      <c r="Q60" s="101" t="str">
        <f t="shared" si="2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99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">
      <c r="A61" s="42">
        <v>432</v>
      </c>
      <c r="B61" s="77" t="s">
        <v>17</v>
      </c>
      <c r="C61" s="10">
        <v>0</v>
      </c>
      <c r="D61" s="5">
        <v>1</v>
      </c>
      <c r="E61" s="5">
        <v>-1</v>
      </c>
      <c r="F61" s="10">
        <v>0</v>
      </c>
      <c r="G61" s="5">
        <v>0</v>
      </c>
      <c r="H61" s="5">
        <v>0</v>
      </c>
      <c r="I61" s="10">
        <v>0</v>
      </c>
      <c r="J61" s="5">
        <v>1</v>
      </c>
      <c r="K61" s="5">
        <v>-1</v>
      </c>
      <c r="L61" s="10">
        <v>0</v>
      </c>
      <c r="M61" s="5">
        <v>1</v>
      </c>
      <c r="N61" s="5">
        <v>-1</v>
      </c>
      <c r="O61" s="10">
        <f t="shared" ref="O61:O77" si="7">K61+H61+E61</f>
        <v>-2</v>
      </c>
      <c r="P61" s="97">
        <f t="shared" ref="P61:P77" si="8">O61/(J61+G61+D61+1)</f>
        <v>-0.66666666666666663</v>
      </c>
      <c r="Q61" s="101" t="str">
        <f t="shared" si="2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99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">
      <c r="A62" s="42">
        <v>476</v>
      </c>
      <c r="B62" s="77" t="s">
        <v>17</v>
      </c>
      <c r="C62" s="10">
        <v>0</v>
      </c>
      <c r="D62" s="5">
        <v>0</v>
      </c>
      <c r="E62" s="5">
        <v>0</v>
      </c>
      <c r="F62" s="10">
        <v>0</v>
      </c>
      <c r="G62" s="5">
        <v>0</v>
      </c>
      <c r="H62" s="5">
        <v>0</v>
      </c>
      <c r="I62" s="10">
        <v>0</v>
      </c>
      <c r="J62" s="5">
        <v>0</v>
      </c>
      <c r="K62" s="5">
        <v>0</v>
      </c>
      <c r="L62" s="10">
        <v>0</v>
      </c>
      <c r="M62" s="5">
        <v>0</v>
      </c>
      <c r="N62" s="5">
        <v>0</v>
      </c>
      <c r="O62" s="10">
        <f t="shared" si="5"/>
        <v>0</v>
      </c>
      <c r="P62" s="97">
        <f t="shared" si="6"/>
        <v>0</v>
      </c>
      <c r="Q62" s="101" t="str">
        <f t="shared" si="2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99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">
      <c r="A63" s="42">
        <v>512</v>
      </c>
      <c r="B63" s="77" t="s">
        <v>17</v>
      </c>
      <c r="C63" s="10">
        <v>2500</v>
      </c>
      <c r="D63" s="5">
        <v>2133</v>
      </c>
      <c r="E63" s="5">
        <v>367</v>
      </c>
      <c r="F63" s="10">
        <v>2500</v>
      </c>
      <c r="G63" s="5">
        <v>1404</v>
      </c>
      <c r="H63" s="5">
        <v>1096</v>
      </c>
      <c r="I63" s="10">
        <v>2500</v>
      </c>
      <c r="J63" s="5">
        <v>1416</v>
      </c>
      <c r="K63" s="5">
        <v>1084</v>
      </c>
      <c r="L63" s="10">
        <v>2500</v>
      </c>
      <c r="M63" s="5">
        <v>2400</v>
      </c>
      <c r="N63" s="5">
        <v>100</v>
      </c>
      <c r="O63" s="10">
        <f t="shared" si="5"/>
        <v>2547</v>
      </c>
      <c r="P63" s="97">
        <f t="shared" si="6"/>
        <v>0.51412999596285824</v>
      </c>
      <c r="Q63" s="101" t="str">
        <f t="shared" si="2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99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>X</v>
      </c>
      <c r="V63" t="str">
        <f t="shared" si="4"/>
        <v xml:space="preserve"> </v>
      </c>
    </row>
    <row r="64" spans="1:22" x14ac:dyDescent="0.2">
      <c r="A64" s="42">
        <v>757</v>
      </c>
      <c r="B64" s="77" t="s">
        <v>17</v>
      </c>
      <c r="C64" s="10">
        <v>0</v>
      </c>
      <c r="D64" s="5">
        <v>575</v>
      </c>
      <c r="E64" s="5">
        <v>-575</v>
      </c>
      <c r="F64" s="10">
        <v>0</v>
      </c>
      <c r="G64" s="5">
        <v>542</v>
      </c>
      <c r="H64" s="5">
        <v>-542</v>
      </c>
      <c r="I64" s="10">
        <v>0</v>
      </c>
      <c r="J64" s="5">
        <v>126</v>
      </c>
      <c r="K64" s="5">
        <v>-126</v>
      </c>
      <c r="L64" s="10">
        <v>0</v>
      </c>
      <c r="M64" s="5">
        <v>67</v>
      </c>
      <c r="N64" s="5">
        <v>-67</v>
      </c>
      <c r="O64" s="10">
        <f t="shared" si="7"/>
        <v>-1243</v>
      </c>
      <c r="P64" s="97">
        <f t="shared" si="8"/>
        <v>-0.99919614147909963</v>
      </c>
      <c r="Q64" s="101" t="str">
        <f t="shared" si="2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99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">
      <c r="A65" s="42">
        <v>761</v>
      </c>
      <c r="B65" s="77" t="s">
        <v>17</v>
      </c>
      <c r="C65" s="10">
        <v>0</v>
      </c>
      <c r="D65" s="5">
        <v>1</v>
      </c>
      <c r="E65" s="5">
        <v>-1</v>
      </c>
      <c r="F65" s="10">
        <v>0</v>
      </c>
      <c r="G65" s="5">
        <v>1</v>
      </c>
      <c r="H65" s="5">
        <v>-1</v>
      </c>
      <c r="I65" s="10">
        <v>0</v>
      </c>
      <c r="J65" s="5">
        <v>1</v>
      </c>
      <c r="K65" s="5">
        <v>-1</v>
      </c>
      <c r="L65" s="10">
        <v>0</v>
      </c>
      <c r="M65" s="5">
        <v>1</v>
      </c>
      <c r="N65" s="5">
        <v>-1</v>
      </c>
      <c r="O65" s="10">
        <f t="shared" si="5"/>
        <v>-3</v>
      </c>
      <c r="P65" s="97">
        <f t="shared" si="6"/>
        <v>-0.75</v>
      </c>
      <c r="Q65" s="101" t="str">
        <f t="shared" si="2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99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">
      <c r="A66" s="42">
        <v>764</v>
      </c>
      <c r="B66" s="77" t="s">
        <v>17</v>
      </c>
      <c r="C66" s="10">
        <v>196</v>
      </c>
      <c r="D66" s="5">
        <v>190</v>
      </c>
      <c r="E66" s="5">
        <v>6</v>
      </c>
      <c r="F66" s="10">
        <v>196</v>
      </c>
      <c r="G66" s="5">
        <v>196</v>
      </c>
      <c r="H66" s="5">
        <v>0</v>
      </c>
      <c r="I66" s="10">
        <v>196</v>
      </c>
      <c r="J66" s="5">
        <v>189</v>
      </c>
      <c r="K66" s="5">
        <v>7</v>
      </c>
      <c r="L66" s="10">
        <v>196</v>
      </c>
      <c r="M66" s="5">
        <v>160</v>
      </c>
      <c r="N66" s="5">
        <v>36</v>
      </c>
      <c r="O66" s="10">
        <f t="shared" si="7"/>
        <v>13</v>
      </c>
      <c r="P66" s="97">
        <f t="shared" si="8"/>
        <v>2.2569444444444444E-2</v>
      </c>
      <c r="Q66" s="101" t="str">
        <f t="shared" si="2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99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4"/>
        <v xml:space="preserve"> </v>
      </c>
    </row>
    <row r="67" spans="1:22" x14ac:dyDescent="0.2">
      <c r="A67" s="42">
        <v>765</v>
      </c>
      <c r="B67" s="77" t="s">
        <v>17</v>
      </c>
      <c r="C67" s="10">
        <v>7271</v>
      </c>
      <c r="D67" s="5">
        <v>7316</v>
      </c>
      <c r="E67" s="5">
        <v>-45</v>
      </c>
      <c r="F67" s="10">
        <v>7271</v>
      </c>
      <c r="G67" s="5">
        <v>7428</v>
      </c>
      <c r="H67" s="5">
        <v>-157</v>
      </c>
      <c r="I67" s="10">
        <v>7271</v>
      </c>
      <c r="J67" s="5">
        <v>7465</v>
      </c>
      <c r="K67" s="5">
        <v>-194</v>
      </c>
      <c r="L67" s="10">
        <v>7271</v>
      </c>
      <c r="M67" s="5">
        <v>7391</v>
      </c>
      <c r="N67" s="5">
        <v>-120</v>
      </c>
      <c r="O67" s="10">
        <f t="shared" si="7"/>
        <v>-396</v>
      </c>
      <c r="P67" s="97">
        <f t="shared" si="8"/>
        <v>-1.7829806393516435E-2</v>
      </c>
      <c r="Q67" s="101" t="str">
        <f t="shared" si="2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99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">
      <c r="A68" s="42">
        <v>779</v>
      </c>
      <c r="B68" s="77" t="s">
        <v>17</v>
      </c>
      <c r="C68" s="10">
        <v>800</v>
      </c>
      <c r="D68" s="5">
        <v>1185</v>
      </c>
      <c r="E68" s="5">
        <v>-385</v>
      </c>
      <c r="F68" s="10">
        <v>800</v>
      </c>
      <c r="G68" s="5">
        <v>1230</v>
      </c>
      <c r="H68" s="5">
        <v>-430</v>
      </c>
      <c r="I68" s="10">
        <v>800</v>
      </c>
      <c r="J68" s="5">
        <v>303</v>
      </c>
      <c r="K68" s="5">
        <v>497</v>
      </c>
      <c r="L68" s="10">
        <v>800</v>
      </c>
      <c r="M68" s="5">
        <v>535</v>
      </c>
      <c r="N68" s="5">
        <v>265</v>
      </c>
      <c r="O68" s="10">
        <f>K68+H68+E68</f>
        <v>-318</v>
      </c>
      <c r="P68" s="97">
        <f>O68/(J68+G68+D68+1)</f>
        <v>-0.11695476278043399</v>
      </c>
      <c r="Q68" s="101" t="str">
        <f t="shared" si="2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99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">
      <c r="A69" s="42">
        <v>809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0</v>
      </c>
      <c r="N69" s="5">
        <v>0</v>
      </c>
      <c r="O69" s="10">
        <f t="shared" si="7"/>
        <v>0</v>
      </c>
      <c r="P69" s="97">
        <f t="shared" si="8"/>
        <v>0</v>
      </c>
      <c r="Q69" s="101" t="str">
        <f t="shared" si="2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99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">
      <c r="A70" s="42">
        <v>810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 t="shared" si="7"/>
        <v>0</v>
      </c>
      <c r="P70" s="97">
        <f t="shared" si="8"/>
        <v>0</v>
      </c>
      <c r="Q70" s="101" t="str">
        <f t="shared" si="2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99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">
      <c r="A71" s="42">
        <v>899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 t="shared" si="5"/>
        <v>0</v>
      </c>
      <c r="P71" s="97">
        <f t="shared" si="6"/>
        <v>0</v>
      </c>
      <c r="Q71" s="101" t="str">
        <f t="shared" si="2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99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">
      <c r="A72" s="42">
        <v>928</v>
      </c>
      <c r="B72" s="77" t="s">
        <v>17</v>
      </c>
      <c r="C72" s="10">
        <v>190</v>
      </c>
      <c r="D72" s="5">
        <v>198</v>
      </c>
      <c r="E72" s="5">
        <v>-8</v>
      </c>
      <c r="F72" s="10">
        <v>190</v>
      </c>
      <c r="G72" s="5">
        <v>196</v>
      </c>
      <c r="H72" s="5">
        <v>-6</v>
      </c>
      <c r="I72" s="10">
        <v>190</v>
      </c>
      <c r="J72" s="5">
        <v>195</v>
      </c>
      <c r="K72" s="5">
        <v>-5</v>
      </c>
      <c r="L72" s="10">
        <v>190</v>
      </c>
      <c r="M72" s="5">
        <v>195</v>
      </c>
      <c r="N72" s="5">
        <v>-5</v>
      </c>
      <c r="O72" s="10">
        <f t="shared" si="5"/>
        <v>-19</v>
      </c>
      <c r="P72" s="97">
        <f t="shared" si="6"/>
        <v>-3.2203389830508473E-2</v>
      </c>
      <c r="Q72" s="101" t="str">
        <f t="shared" si="2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99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">
      <c r="A73" s="42">
        <v>997</v>
      </c>
      <c r="B73" s="77" t="s">
        <v>17</v>
      </c>
      <c r="C73" s="24">
        <v>0</v>
      </c>
      <c r="D73" s="26">
        <v>0</v>
      </c>
      <c r="E73" s="26">
        <v>0</v>
      </c>
      <c r="F73" s="24">
        <v>0</v>
      </c>
      <c r="G73" s="26">
        <v>0</v>
      </c>
      <c r="H73" s="26">
        <v>0</v>
      </c>
      <c r="I73" s="24">
        <v>0</v>
      </c>
      <c r="J73" s="26">
        <v>0</v>
      </c>
      <c r="K73" s="26">
        <v>0</v>
      </c>
      <c r="L73" s="24">
        <v>0</v>
      </c>
      <c r="M73" s="26">
        <v>0</v>
      </c>
      <c r="N73" s="26">
        <v>0</v>
      </c>
      <c r="O73" s="10">
        <f t="shared" si="7"/>
        <v>0</v>
      </c>
      <c r="P73" s="97">
        <f t="shared" si="8"/>
        <v>0</v>
      </c>
      <c r="Q73" s="101" t="str">
        <f t="shared" si="2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99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4"/>
        <v xml:space="preserve"> </v>
      </c>
    </row>
    <row r="74" spans="1:22" x14ac:dyDescent="0.2">
      <c r="A74" s="42">
        <v>5379</v>
      </c>
      <c r="B74" s="77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 t="shared" si="5"/>
        <v>0</v>
      </c>
      <c r="P74" s="97">
        <f t="shared" si="6"/>
        <v>0</v>
      </c>
      <c r="Q74" s="101" t="str">
        <f t="shared" ref="Q74:Q86" si="9">" "</f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99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86" si="10">IF(S74 = "X",L74-I74," ")</f>
        <v xml:space="preserve"> </v>
      </c>
    </row>
    <row r="75" spans="1:22" x14ac:dyDescent="0.2">
      <c r="A75" s="42">
        <v>6187</v>
      </c>
      <c r="B75" s="77" t="s">
        <v>17</v>
      </c>
      <c r="C75" s="10">
        <v>0</v>
      </c>
      <c r="D75" s="5">
        <v>0</v>
      </c>
      <c r="E75" s="5">
        <v>0</v>
      </c>
      <c r="F75" s="10">
        <v>0</v>
      </c>
      <c r="G75" s="5">
        <v>0</v>
      </c>
      <c r="H75" s="5">
        <v>0</v>
      </c>
      <c r="I75" s="10">
        <v>0</v>
      </c>
      <c r="J75" s="5">
        <v>0</v>
      </c>
      <c r="K75" s="5">
        <v>0</v>
      </c>
      <c r="L75" s="10">
        <v>0</v>
      </c>
      <c r="M75" s="5">
        <v>0</v>
      </c>
      <c r="N75" s="5">
        <v>0</v>
      </c>
      <c r="O75" s="10">
        <f t="shared" si="7"/>
        <v>0</v>
      </c>
      <c r="P75" s="97">
        <f t="shared" si="8"/>
        <v>0</v>
      </c>
      <c r="Q75" s="101" t="str">
        <f t="shared" si="9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99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">
      <c r="A76" s="42">
        <v>7088</v>
      </c>
      <c r="B76" s="77" t="s">
        <v>17</v>
      </c>
      <c r="C76" s="10">
        <v>0</v>
      </c>
      <c r="D76" s="5">
        <v>11</v>
      </c>
      <c r="E76" s="5">
        <v>-11</v>
      </c>
      <c r="F76" s="10">
        <v>0</v>
      </c>
      <c r="G76" s="5">
        <v>10</v>
      </c>
      <c r="H76" s="5">
        <v>-10</v>
      </c>
      <c r="I76" s="10">
        <v>0</v>
      </c>
      <c r="J76" s="5">
        <v>8</v>
      </c>
      <c r="K76" s="5">
        <v>-8</v>
      </c>
      <c r="L76" s="10">
        <v>0</v>
      </c>
      <c r="M76" s="5">
        <v>7</v>
      </c>
      <c r="N76" s="5">
        <v>-7</v>
      </c>
      <c r="O76" s="10">
        <f t="shared" si="7"/>
        <v>-29</v>
      </c>
      <c r="P76" s="97">
        <f t="shared" si="8"/>
        <v>-0.96666666666666667</v>
      </c>
      <c r="Q76" s="101" t="str">
        <f t="shared" si="9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99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0"/>
        <v xml:space="preserve"> </v>
      </c>
    </row>
    <row r="77" spans="1:22" x14ac:dyDescent="0.2">
      <c r="A77" s="42">
        <v>7602</v>
      </c>
      <c r="B77" s="77" t="s">
        <v>17</v>
      </c>
      <c r="C77" s="10">
        <v>38980</v>
      </c>
      <c r="D77" s="5">
        <v>45127</v>
      </c>
      <c r="E77" s="5">
        <v>-6147</v>
      </c>
      <c r="F77" s="10">
        <v>38980</v>
      </c>
      <c r="G77" s="5">
        <v>41880</v>
      </c>
      <c r="H77" s="5">
        <v>-2900</v>
      </c>
      <c r="I77" s="10">
        <v>38980</v>
      </c>
      <c r="J77" s="5">
        <v>36401</v>
      </c>
      <c r="K77" s="5">
        <v>2579</v>
      </c>
      <c r="L77" s="10">
        <v>37000</v>
      </c>
      <c r="M77" s="5">
        <v>36891</v>
      </c>
      <c r="N77" s="5">
        <v>109</v>
      </c>
      <c r="O77" s="10">
        <f t="shared" si="7"/>
        <v>-6468</v>
      </c>
      <c r="P77" s="97">
        <f t="shared" si="8"/>
        <v>-5.241108833229343E-2</v>
      </c>
      <c r="Q77" s="101" t="str">
        <f t="shared" si="9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21" t="str">
        <f>IF(AND(L77-I77&gt;=Summary!$C$110,N77-K77&gt;Summary!$C$110,N77&gt;0),"X"," ")</f>
        <v xml:space="preserve"> </v>
      </c>
      <c r="T77" s="99" t="str">
        <f>IF($C$4="High Inventory",IF(AND($O77&gt;=Summary!$C$106,$P77&gt;=0%),"X"," "),IF(AND($O77&lt;=-Summary!$C$106,$P77&lt;=0%),"X"," "))</f>
        <v xml:space="preserve"> </v>
      </c>
      <c r="U77" s="21" t="str">
        <f>IF($C$4="High Inventory",IF(AND($O77&gt;=0,$P77&gt;=Summary!$C$107),"X"," "),IF(AND($O77&lt;=0,$P77&lt;=-Summary!$C$107),"X"," "))</f>
        <v xml:space="preserve"> </v>
      </c>
      <c r="V77" t="str">
        <f t="shared" si="10"/>
        <v xml:space="preserve"> </v>
      </c>
    </row>
    <row r="78" spans="1:22" x14ac:dyDescent="0.2">
      <c r="A78" s="42">
        <v>7604</v>
      </c>
      <c r="B78" s="77" t="s">
        <v>17</v>
      </c>
      <c r="C78" s="24">
        <v>63061</v>
      </c>
      <c r="D78" s="26">
        <v>69600</v>
      </c>
      <c r="E78" s="26">
        <v>-6539</v>
      </c>
      <c r="F78" s="24">
        <v>116131</v>
      </c>
      <c r="G78" s="26">
        <v>66038</v>
      </c>
      <c r="H78" s="26">
        <v>50093</v>
      </c>
      <c r="I78" s="24">
        <v>103498</v>
      </c>
      <c r="J78" s="26">
        <v>64434</v>
      </c>
      <c r="K78" s="26">
        <v>39064</v>
      </c>
      <c r="L78" s="24">
        <v>62757</v>
      </c>
      <c r="M78" s="26">
        <v>66097</v>
      </c>
      <c r="N78" s="26">
        <v>-3340</v>
      </c>
      <c r="O78" s="10">
        <f t="shared" ref="O78:O86" si="11">K78+H78+E78</f>
        <v>82618</v>
      </c>
      <c r="P78" s="97">
        <f t="shared" ref="P78:P86" si="12">O78/(J78+G78+D78+1)</f>
        <v>0.41293927716383522</v>
      </c>
      <c r="Q78" s="101" t="str">
        <f t="shared" si="9"/>
        <v xml:space="preserve"> </v>
      </c>
      <c r="R78" s="91" t="str">
        <f>IF($C$4="High Inventory",IF(AND(O78&gt;=Summary!$C$106,P78&gt;=Summary!$C$107),"X"," "),IF(AND(O78&lt;=-Summary!$C$106,P78&lt;=-Summary!$C$107),"X"," "))</f>
        <v>X</v>
      </c>
      <c r="S78" s="21" t="str">
        <f>IF(AND(L78-I78&gt;=Summary!$C$110,N78-K78&gt;Summary!$C$110,N78&gt;0),"X"," ")</f>
        <v xml:space="preserve"> </v>
      </c>
      <c r="T78" s="99" t="str">
        <f>IF($C$4="High Inventory",IF(AND($O78&gt;=Summary!$C$106,$P78&gt;=0%),"X"," "),IF(AND($O78&lt;=-Summary!$C$106,$P78&lt;=0%),"X"," "))</f>
        <v>X</v>
      </c>
      <c r="U78" s="21" t="str">
        <f>IF($C$4="High Inventory",IF(AND($O78&gt;=0,$P78&gt;=Summary!$C$107),"X"," "),IF(AND($O78&lt;=0,$P78&lt;=-Summary!$C$107),"X"," "))</f>
        <v>X</v>
      </c>
      <c r="V78" t="str">
        <f t="shared" si="10"/>
        <v xml:space="preserve"> </v>
      </c>
    </row>
    <row r="79" spans="1:22" x14ac:dyDescent="0.2">
      <c r="A79" s="42">
        <v>8576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 t="shared" si="11"/>
        <v>0</v>
      </c>
      <c r="P79" s="97">
        <f t="shared" si="12"/>
        <v>0</v>
      </c>
      <c r="Q79" s="101" t="str">
        <f t="shared" si="9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99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">
      <c r="A80" s="42">
        <v>8577</v>
      </c>
      <c r="B80" s="77" t="s">
        <v>17</v>
      </c>
      <c r="C80" s="24">
        <v>0</v>
      </c>
      <c r="D80" s="26">
        <v>0</v>
      </c>
      <c r="E80" s="26">
        <v>0</v>
      </c>
      <c r="F80" s="24">
        <v>0</v>
      </c>
      <c r="G80" s="26">
        <v>0</v>
      </c>
      <c r="H80" s="26">
        <v>0</v>
      </c>
      <c r="I80" s="24">
        <v>0</v>
      </c>
      <c r="J80" s="26">
        <v>0</v>
      </c>
      <c r="K80" s="26">
        <v>0</v>
      </c>
      <c r="L80" s="24">
        <v>0</v>
      </c>
      <c r="M80" s="26">
        <v>0</v>
      </c>
      <c r="N80" s="26">
        <v>0</v>
      </c>
      <c r="O80" s="10">
        <f t="shared" si="11"/>
        <v>0</v>
      </c>
      <c r="P80" s="97">
        <f t="shared" si="12"/>
        <v>0</v>
      </c>
      <c r="Q80" s="101" t="str">
        <f t="shared" si="9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99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">
      <c r="A81" s="42">
        <v>8578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11"/>
        <v>0</v>
      </c>
      <c r="P81" s="97">
        <f t="shared" si="12"/>
        <v>0</v>
      </c>
      <c r="Q81" s="101" t="str">
        <f t="shared" si="9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99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">
      <c r="A82" s="42">
        <v>8579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11"/>
        <v>0</v>
      </c>
      <c r="P82" s="97">
        <f t="shared" si="12"/>
        <v>0</v>
      </c>
      <c r="Q82" s="101" t="str">
        <f t="shared" si="9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99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0"/>
        <v xml:space="preserve"> </v>
      </c>
    </row>
    <row r="83" spans="1:22" x14ac:dyDescent="0.2">
      <c r="A83" s="42">
        <v>8580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 t="shared" si="11"/>
        <v>0</v>
      </c>
      <c r="P83" s="97">
        <f t="shared" si="12"/>
        <v>0</v>
      </c>
      <c r="Q83" s="101" t="str">
        <f t="shared" si="9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99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">
      <c r="A84" s="42">
        <v>13636</v>
      </c>
      <c r="B84" s="77" t="s">
        <v>17</v>
      </c>
      <c r="C84" s="10">
        <v>120</v>
      </c>
      <c r="D84" s="5">
        <v>0</v>
      </c>
      <c r="E84" s="5">
        <v>120</v>
      </c>
      <c r="F84" s="10">
        <v>120</v>
      </c>
      <c r="G84" s="5">
        <v>0</v>
      </c>
      <c r="H84" s="5">
        <v>120</v>
      </c>
      <c r="I84" s="10">
        <v>120</v>
      </c>
      <c r="J84" s="5">
        <v>128</v>
      </c>
      <c r="K84" s="5">
        <v>-8</v>
      </c>
      <c r="L84" s="10">
        <v>120</v>
      </c>
      <c r="M84" s="5">
        <v>9</v>
      </c>
      <c r="N84" s="5">
        <v>111</v>
      </c>
      <c r="O84" s="10">
        <f t="shared" si="11"/>
        <v>232</v>
      </c>
      <c r="P84" s="97">
        <f t="shared" si="12"/>
        <v>1.7984496124031009</v>
      </c>
      <c r="Q84" s="101" t="str">
        <f t="shared" si="9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99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>X</v>
      </c>
      <c r="V84" t="str">
        <f t="shared" si="10"/>
        <v xml:space="preserve"> </v>
      </c>
    </row>
    <row r="85" spans="1:22" x14ac:dyDescent="0.2">
      <c r="A85" s="42">
        <v>18287</v>
      </c>
      <c r="B85" s="77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11"/>
        <v>0</v>
      </c>
      <c r="P85" s="97">
        <f t="shared" si="12"/>
        <v>0</v>
      </c>
      <c r="Q85" s="101" t="str">
        <f t="shared" si="9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99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0"/>
        <v xml:space="preserve"> </v>
      </c>
    </row>
    <row r="86" spans="1:22" ht="13.5" thickBot="1" x14ac:dyDescent="0.25">
      <c r="A86" s="42">
        <v>20566</v>
      </c>
      <c r="B86" s="77" t="s">
        <v>17</v>
      </c>
      <c r="C86" s="10">
        <v>0</v>
      </c>
      <c r="D86" s="5">
        <v>0</v>
      </c>
      <c r="E86" s="5">
        <v>0</v>
      </c>
      <c r="F86" s="10">
        <v>0</v>
      </c>
      <c r="G86" s="5">
        <v>0</v>
      </c>
      <c r="H86" s="5">
        <v>0</v>
      </c>
      <c r="I86" s="10">
        <v>0</v>
      </c>
      <c r="J86" s="5">
        <v>0</v>
      </c>
      <c r="K86" s="5">
        <v>0</v>
      </c>
      <c r="L86" s="10">
        <v>0</v>
      </c>
      <c r="M86" s="5">
        <v>0</v>
      </c>
      <c r="N86" s="5">
        <v>0</v>
      </c>
      <c r="O86" s="10">
        <f t="shared" si="11"/>
        <v>0</v>
      </c>
      <c r="P86" s="97">
        <f t="shared" si="12"/>
        <v>0</v>
      </c>
      <c r="Q86" s="120" t="str">
        <f t="shared" si="9"/>
        <v xml:space="preserve"> </v>
      </c>
      <c r="R86" s="121" t="str">
        <f>IF($C$4="High Inventory",IF(AND(O86&gt;=Summary!$C$106,P86&gt;=Summary!$C$107),"X"," "),IF(AND(O86&lt;=-Summary!$C$106,P86&lt;=-Summary!$C$107),"X"," "))</f>
        <v xml:space="preserve"> </v>
      </c>
      <c r="S86" s="23" t="str">
        <f>IF(AND(L86-I86&gt;=Summary!$C$110,N86-K86&gt;Summary!$C$110,N86&gt;0),"X"," ")</f>
        <v xml:space="preserve"> </v>
      </c>
      <c r="T86" s="152" t="str">
        <f>IF($C$4="High Inventory",IF(AND($O86&gt;=Summary!$C$106,$P86&gt;=0%),"X"," "),IF(AND($O86&lt;=-Summary!$C$106,$P86&lt;=0%),"X"," "))</f>
        <v xml:space="preserve"> </v>
      </c>
      <c r="U86" s="23" t="str">
        <f>IF($C$4="High Inventory",IF(AND($O86&gt;=0,$P86&gt;=Summary!$C$107),"X"," "),IF(AND($O86&lt;=0,$P86&lt;=-Summary!$C$107),"X"," "))</f>
        <v xml:space="preserve"> </v>
      </c>
      <c r="V86" t="str">
        <f t="shared" si="10"/>
        <v xml:space="preserve"> </v>
      </c>
    </row>
    <row r="87" spans="1:22" x14ac:dyDescent="0.2">
      <c r="A87" s="2" t="s">
        <v>18</v>
      </c>
      <c r="E87" s="3">
        <f>SUM(E10:E86)</f>
        <v>65160</v>
      </c>
      <c r="H87" s="3">
        <f>SUM(H10:H86)</f>
        <v>253234</v>
      </c>
      <c r="K87" s="3">
        <f>SUM(K10:K86)</f>
        <v>332284</v>
      </c>
      <c r="M87" s="3">
        <f>SUM(M10:M86)</f>
        <v>2041428</v>
      </c>
      <c r="N87" s="3">
        <f>SUM(N10:N86)</f>
        <v>-267555</v>
      </c>
      <c r="P87" s="1"/>
      <c r="Q87" s="2">
        <f>COUNTIF(Q10:Q86,"X")</f>
        <v>0</v>
      </c>
      <c r="R87" s="2">
        <f>COUNTIF(R10:R86,"X")</f>
        <v>10</v>
      </c>
      <c r="S87" s="2">
        <f>COUNTIF(S10:S86,"X")</f>
        <v>0</v>
      </c>
      <c r="T87" s="2">
        <f>COUNTIF(T10:T86,"X")</f>
        <v>13</v>
      </c>
      <c r="U87" s="2">
        <f>COUNTIF(U10:U86,"X")</f>
        <v>19</v>
      </c>
      <c r="V87">
        <f>SUM(V$58:V$86)+SUM(V$31:V$53)+SUM(V$10:V$26)</f>
        <v>0</v>
      </c>
    </row>
    <row r="88" spans="1:22" x14ac:dyDescent="0.2">
      <c r="M88" s="115" t="s">
        <v>57</v>
      </c>
      <c r="N88" s="116">
        <f>N87/M87</f>
        <v>-0.13106266789717785</v>
      </c>
      <c r="P88" s="1"/>
      <c r="R88" s="2" t="str">
        <f>IF(AND(O88&gt;=5000,P88&gt;=10%),"X"," ")</f>
        <v xml:space="preserve"> </v>
      </c>
    </row>
    <row r="89" spans="1:22" x14ac:dyDescent="0.2">
      <c r="P89" s="1"/>
      <c r="R89" s="2" t="str">
        <f>IF(AND(O89&gt;=5000,P89&gt;=10%),"X"," ")</f>
        <v xml:space="preserve"> </v>
      </c>
    </row>
  </sheetData>
  <mergeCells count="1">
    <mergeCell ref="R6:S6"/>
  </mergeCells>
  <pageMargins left="0.25" right="0.25" top="0.75" bottom="0.9" header="0.5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7"/>
  <sheetViews>
    <sheetView zoomScale="75" workbookViewId="0">
      <pane xSplit="2" ySplit="9" topLeftCell="C10" activePane="bottomRight" state="frozen"/>
      <selection activeCell="B1" sqref="B1"/>
      <selection pane="topRight" activeCell="E1" sqref="E1"/>
      <selection pane="bottomLeft" activeCell="B10" sqref="B10"/>
      <selection pane="bottomRight" activeCell="C10" sqref="C10"/>
    </sheetView>
  </sheetViews>
  <sheetFormatPr defaultColWidth="7.85546875" defaultRowHeight="12.75" x14ac:dyDescent="0.2"/>
  <cols>
    <col min="1" max="1" width="9.42578125" style="43" customWidth="1"/>
    <col min="2" max="2" width="10" style="43" customWidth="1"/>
    <col min="3" max="19" width="10" customWidth="1"/>
    <col min="20" max="22" width="10" hidden="1" customWidth="1"/>
    <col min="23" max="235" width="9.140625" customWidth="1"/>
  </cols>
  <sheetData>
    <row r="1" spans="1:22" ht="18" customHeight="1" x14ac:dyDescent="0.25">
      <c r="A1" s="80" t="s">
        <v>45</v>
      </c>
    </row>
    <row r="2" spans="1:22" ht="19.5" customHeight="1" x14ac:dyDescent="0.2">
      <c r="A2" s="113" t="s">
        <v>24</v>
      </c>
    </row>
    <row r="3" spans="1:22" ht="15.75" x14ac:dyDescent="0.25">
      <c r="A3" s="81" t="s">
        <v>25</v>
      </c>
      <c r="C3" s="20">
        <f>L8</f>
        <v>36623</v>
      </c>
      <c r="D3" s="19"/>
    </row>
    <row r="4" spans="1:22" ht="15.75" x14ac:dyDescent="0.25">
      <c r="A4" s="81" t="s">
        <v>26</v>
      </c>
      <c r="C4" s="4" t="s">
        <v>27</v>
      </c>
      <c r="E4" s="4" t="s">
        <v>61</v>
      </c>
    </row>
    <row r="5" spans="1:22" ht="16.5" thickBot="1" x14ac:dyDescent="0.3">
      <c r="A5" s="81" t="s">
        <v>28</v>
      </c>
      <c r="C5" s="4" t="s">
        <v>29</v>
      </c>
    </row>
    <row r="6" spans="1:22" ht="22.5" customHeight="1" thickBot="1" x14ac:dyDescent="0.25">
      <c r="R6" s="219" t="s">
        <v>35</v>
      </c>
      <c r="S6" s="220"/>
      <c r="T6" s="107"/>
      <c r="U6" s="108"/>
    </row>
    <row r="7" spans="1:22" s="85" customFormat="1" ht="54" customHeight="1" thickBot="1" x14ac:dyDescent="0.25">
      <c r="A7" s="82" t="s">
        <v>53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93" t="s">
        <v>56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  <c r="V7" s="98"/>
    </row>
    <row r="8" spans="1:22" s="76" customFormat="1" ht="15.95" customHeight="1" thickBot="1" x14ac:dyDescent="0.25">
      <c r="A8" s="78"/>
      <c r="B8" s="79"/>
      <c r="C8" s="73">
        <v>36620</v>
      </c>
      <c r="D8" s="74"/>
      <c r="E8" s="75" t="str">
        <f>TEXT(WEEKDAY(C8),"dddd")</f>
        <v>Tuesday</v>
      </c>
      <c r="F8" s="73">
        <v>36621</v>
      </c>
      <c r="G8" s="74"/>
      <c r="H8" s="75" t="str">
        <f>TEXT(WEEKDAY(F8),"dddd")</f>
        <v>Wednesday</v>
      </c>
      <c r="I8" s="73">
        <v>36622</v>
      </c>
      <c r="J8" s="74"/>
      <c r="K8" s="75" t="str">
        <f>TEXT(WEEKDAY(I8),"dddd")</f>
        <v>Thursday</v>
      </c>
      <c r="L8" s="73">
        <v>36623</v>
      </c>
      <c r="M8" s="74"/>
      <c r="N8" s="75" t="str">
        <f>TEXT(WEEKDAY(L8),"dddd")</f>
        <v>Friday</v>
      </c>
      <c r="O8" s="71"/>
      <c r="P8" s="95"/>
      <c r="Q8" s="71"/>
      <c r="R8" s="72"/>
      <c r="S8" s="156">
        <f>Summary!$C$110</f>
        <v>5000</v>
      </c>
      <c r="T8" s="90"/>
      <c r="U8" s="104"/>
    </row>
    <row r="9" spans="1:22" ht="51" hidden="1" x14ac:dyDescent="0.2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4" si="0">K9+H9+E9</f>
        <v>#VALUE!</v>
      </c>
      <c r="P9" s="96"/>
      <c r="Q9" s="89"/>
      <c r="R9" s="87"/>
      <c r="S9" s="103"/>
    </row>
    <row r="10" spans="1:22" x14ac:dyDescent="0.2">
      <c r="A10" s="42">
        <v>1117</v>
      </c>
      <c r="B10" s="77" t="s">
        <v>8</v>
      </c>
      <c r="C10" s="10">
        <v>167</v>
      </c>
      <c r="D10" s="5">
        <v>275</v>
      </c>
      <c r="E10" s="5">
        <v>-108</v>
      </c>
      <c r="F10" s="10">
        <v>167</v>
      </c>
      <c r="G10" s="5">
        <v>266</v>
      </c>
      <c r="H10" s="5">
        <v>-99</v>
      </c>
      <c r="I10" s="10">
        <v>167</v>
      </c>
      <c r="J10" s="5">
        <v>251</v>
      </c>
      <c r="K10" s="5">
        <v>-84</v>
      </c>
      <c r="L10" s="10">
        <v>0</v>
      </c>
      <c r="M10" s="5">
        <v>231</v>
      </c>
      <c r="N10" s="5">
        <v>-231</v>
      </c>
      <c r="O10" s="10">
        <f t="shared" si="0"/>
        <v>-291</v>
      </c>
      <c r="P10" s="114">
        <f t="shared" ref="P10:P54" si="1">O10/(J10+G10+D10+1)</f>
        <v>-0.36696090794451452</v>
      </c>
      <c r="Q10" s="106" t="str">
        <f>" "</f>
        <v xml:space="preserve"> </v>
      </c>
      <c r="R10" s="91" t="str">
        <f>IF($C$4="High Inventory",IF(AND($O10&gt;=Summary!$C$106,$P10&gt;=Summary!$C$107),"X"," "),IF(AND($O10&lt;=-Summary!$C$106,$P10&lt;=-Summary!$C$107),"X"," "))</f>
        <v xml:space="preserve"> </v>
      </c>
      <c r="S10" s="110" t="str">
        <f>IF(AND(L10-I10&gt;=Summary!$C$110,N10-K10&gt;Summary!$C$110,N10&gt;0),"X"," ")</f>
        <v xml:space="preserve"> </v>
      </c>
      <c r="T10" s="99" t="str">
        <f>IF($C$4="High Inventory",IF(AND($O10&gt;=Summary!$C$106,$P10&gt;=0%),"X"," "),IF(AND($O10&lt;=-Summary!$C$106,$P10&lt;=0%),"X"," "))</f>
        <v xml:space="preserve"> </v>
      </c>
      <c r="U10" s="21" t="str">
        <f>IF($C$4="High Inventory",IF(AND($O10&gt;=0,$P10&gt;=Summary!$C$107),"X"," "),IF(AND($O10&lt;=0,$P10&lt;=-Summary!$C$107),"X"," "))</f>
        <v xml:space="preserve"> </v>
      </c>
      <c r="V10" t="str">
        <f t="shared" ref="V10:V41" si="2">IF(S10 = "X",L10-I10," ")</f>
        <v xml:space="preserve"> </v>
      </c>
    </row>
    <row r="11" spans="1:22" x14ac:dyDescent="0.2">
      <c r="A11" s="42">
        <v>1126</v>
      </c>
      <c r="B11" s="77" t="s">
        <v>8</v>
      </c>
      <c r="C11" s="10">
        <v>0</v>
      </c>
      <c r="D11" s="5">
        <v>56</v>
      </c>
      <c r="E11" s="5">
        <v>-56</v>
      </c>
      <c r="F11" s="10">
        <v>0</v>
      </c>
      <c r="G11" s="5">
        <v>60</v>
      </c>
      <c r="H11" s="5">
        <v>-60</v>
      </c>
      <c r="I11" s="10">
        <v>0</v>
      </c>
      <c r="J11" s="5">
        <v>51</v>
      </c>
      <c r="K11" s="5">
        <v>-51</v>
      </c>
      <c r="L11" s="10">
        <v>0</v>
      </c>
      <c r="M11" s="5">
        <v>49</v>
      </c>
      <c r="N11" s="5">
        <v>-49</v>
      </c>
      <c r="O11" s="10">
        <f t="shared" si="0"/>
        <v>-167</v>
      </c>
      <c r="P11" s="97">
        <f t="shared" si="1"/>
        <v>-0.99404761904761907</v>
      </c>
      <c r="Q11" s="101" t="str">
        <f t="shared" ref="Q11:Q74" si="3">" "</f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111" t="str">
        <f>IF(AND(L11-I11&gt;=Summary!$C$110,N11-K11&gt;Summary!$C$110,N11&gt;0),"X"," ")</f>
        <v xml:space="preserve"> </v>
      </c>
      <c r="T11" s="99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2"/>
        <v xml:space="preserve"> </v>
      </c>
    </row>
    <row r="12" spans="1:22" x14ac:dyDescent="0.2">
      <c r="A12" s="42">
        <v>1157</v>
      </c>
      <c r="B12" s="77" t="s">
        <v>8</v>
      </c>
      <c r="C12" s="10">
        <v>0</v>
      </c>
      <c r="D12" s="5">
        <v>122</v>
      </c>
      <c r="E12" s="5">
        <v>-122</v>
      </c>
      <c r="F12" s="10">
        <v>0</v>
      </c>
      <c r="G12" s="5">
        <v>115</v>
      </c>
      <c r="H12" s="5">
        <v>-115</v>
      </c>
      <c r="I12" s="10">
        <v>0</v>
      </c>
      <c r="J12" s="5">
        <v>105</v>
      </c>
      <c r="K12" s="5">
        <v>-105</v>
      </c>
      <c r="L12" s="10">
        <v>0</v>
      </c>
      <c r="M12" s="5">
        <v>93</v>
      </c>
      <c r="N12" s="5">
        <v>-93</v>
      </c>
      <c r="O12" s="10">
        <f t="shared" si="0"/>
        <v>-342</v>
      </c>
      <c r="P12" s="97">
        <f t="shared" si="1"/>
        <v>-0.99708454810495628</v>
      </c>
      <c r="Q12" s="101" t="str">
        <f t="shared" si="3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111" t="str">
        <f>IF(AND(L12-I12&gt;=Summary!$C$110,N12-K12&gt;Summary!$C$110,N12&gt;0),"X"," ")</f>
        <v xml:space="preserve"> </v>
      </c>
      <c r="T12" s="99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2"/>
        <v xml:space="preserve"> </v>
      </c>
    </row>
    <row r="13" spans="1:22" x14ac:dyDescent="0.2">
      <c r="A13" s="42">
        <v>1780</v>
      </c>
      <c r="B13" s="77" t="s">
        <v>8</v>
      </c>
      <c r="C13" s="10">
        <v>1529</v>
      </c>
      <c r="D13" s="5">
        <v>1851</v>
      </c>
      <c r="E13" s="5">
        <v>-322</v>
      </c>
      <c r="F13" s="10">
        <v>1529</v>
      </c>
      <c r="G13" s="5">
        <v>1801</v>
      </c>
      <c r="H13" s="5">
        <v>-272</v>
      </c>
      <c r="I13" s="10">
        <v>1010</v>
      </c>
      <c r="J13" s="5">
        <v>1679</v>
      </c>
      <c r="K13" s="5">
        <v>-669</v>
      </c>
      <c r="L13" s="10">
        <v>1480</v>
      </c>
      <c r="M13" s="5">
        <v>1482</v>
      </c>
      <c r="N13" s="5">
        <v>-2</v>
      </c>
      <c r="O13" s="10">
        <f t="shared" si="0"/>
        <v>-1263</v>
      </c>
      <c r="P13" s="97">
        <f t="shared" si="1"/>
        <v>-0.23687171792948236</v>
      </c>
      <c r="Q13" s="101" t="str">
        <f t="shared" si="3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111" t="str">
        <f>IF(AND(L13-I13&gt;=Summary!$C$110,N13-K13&gt;Summary!$C$110,N13&gt;0),"X"," ")</f>
        <v xml:space="preserve"> </v>
      </c>
      <c r="T13" s="99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2"/>
        <v xml:space="preserve"> </v>
      </c>
    </row>
    <row r="14" spans="1:22" x14ac:dyDescent="0.2">
      <c r="A14" s="42">
        <v>2280</v>
      </c>
      <c r="B14" s="77" t="s">
        <v>8</v>
      </c>
      <c r="C14" s="10">
        <v>217</v>
      </c>
      <c r="D14" s="5">
        <v>554</v>
      </c>
      <c r="E14" s="5">
        <v>-337</v>
      </c>
      <c r="F14" s="10">
        <v>443</v>
      </c>
      <c r="G14" s="5">
        <v>534</v>
      </c>
      <c r="H14" s="5">
        <v>-91</v>
      </c>
      <c r="I14" s="10">
        <v>443</v>
      </c>
      <c r="J14" s="5">
        <v>487</v>
      </c>
      <c r="K14" s="5">
        <v>-44</v>
      </c>
      <c r="L14" s="10">
        <v>483</v>
      </c>
      <c r="M14" s="5">
        <v>474</v>
      </c>
      <c r="N14" s="5">
        <v>9</v>
      </c>
      <c r="O14" s="10">
        <f t="shared" si="0"/>
        <v>-472</v>
      </c>
      <c r="P14" s="97">
        <f t="shared" si="1"/>
        <v>-0.29949238578680204</v>
      </c>
      <c r="Q14" s="101" t="str">
        <f t="shared" si="3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111" t="str">
        <f>IF(AND(L14-I14&gt;=Summary!$C$110,N14-K14&gt;Summary!$C$110,N14&gt;0),"X"," ")</f>
        <v xml:space="preserve"> </v>
      </c>
      <c r="T14" s="99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2"/>
        <v xml:space="preserve"> </v>
      </c>
    </row>
    <row r="15" spans="1:22" x14ac:dyDescent="0.2">
      <c r="A15" s="42">
        <v>2584</v>
      </c>
      <c r="B15" s="77" t="s">
        <v>8</v>
      </c>
      <c r="C15" s="10">
        <v>4150</v>
      </c>
      <c r="D15" s="5">
        <v>4050</v>
      </c>
      <c r="E15" s="5">
        <v>100</v>
      </c>
      <c r="F15" s="10">
        <v>4150</v>
      </c>
      <c r="G15" s="5">
        <v>3985</v>
      </c>
      <c r="H15" s="5">
        <v>165</v>
      </c>
      <c r="I15" s="10">
        <v>3600</v>
      </c>
      <c r="J15" s="5">
        <v>3578</v>
      </c>
      <c r="K15" s="5">
        <v>22</v>
      </c>
      <c r="L15" s="10">
        <v>3490</v>
      </c>
      <c r="M15" s="5">
        <v>3482</v>
      </c>
      <c r="N15" s="5">
        <v>8</v>
      </c>
      <c r="O15" s="10">
        <f t="shared" si="0"/>
        <v>287</v>
      </c>
      <c r="P15" s="97">
        <f t="shared" si="1"/>
        <v>2.4711555019803686E-2</v>
      </c>
      <c r="Q15" s="101" t="str">
        <f t="shared" si="3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111" t="str">
        <f>IF(AND(L15-I15&gt;=Summary!$C$110,N15-K15&gt;Summary!$C$110,N15&gt;0),"X"," ")</f>
        <v xml:space="preserve"> </v>
      </c>
      <c r="T15" s="99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 xml:space="preserve"> </v>
      </c>
      <c r="V15" t="str">
        <f t="shared" si="2"/>
        <v xml:space="preserve"> </v>
      </c>
    </row>
    <row r="16" spans="1:22" x14ac:dyDescent="0.2">
      <c r="A16" s="42">
        <v>2771</v>
      </c>
      <c r="B16" s="77" t="s">
        <v>8</v>
      </c>
      <c r="C16" s="10">
        <v>7800</v>
      </c>
      <c r="D16" s="5">
        <v>7424</v>
      </c>
      <c r="E16" s="5">
        <v>376</v>
      </c>
      <c r="F16" s="10">
        <v>7800</v>
      </c>
      <c r="G16" s="5">
        <v>7185</v>
      </c>
      <c r="H16" s="5">
        <v>615</v>
      </c>
      <c r="I16" s="10">
        <v>7800</v>
      </c>
      <c r="J16" s="5">
        <v>6571</v>
      </c>
      <c r="K16" s="5">
        <v>1229</v>
      </c>
      <c r="L16" s="10">
        <v>6300</v>
      </c>
      <c r="M16" s="5">
        <v>6315</v>
      </c>
      <c r="N16" s="5">
        <v>-15</v>
      </c>
      <c r="O16" s="10">
        <f t="shared" si="0"/>
        <v>2220</v>
      </c>
      <c r="P16" s="97">
        <f t="shared" si="1"/>
        <v>0.10481091544308578</v>
      </c>
      <c r="Q16" s="101" t="str">
        <f t="shared" si="3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111" t="str">
        <f>IF(AND(L16-I16&gt;=Summary!$C$110,N16-K16&gt;Summary!$C$110,N16&gt;0),"X"," ")</f>
        <v xml:space="preserve"> </v>
      </c>
      <c r="T16" s="99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>X</v>
      </c>
      <c r="V16" t="str">
        <f t="shared" si="2"/>
        <v xml:space="preserve"> </v>
      </c>
    </row>
    <row r="17" spans="1:22" x14ac:dyDescent="0.2">
      <c r="A17" s="42">
        <v>2832</v>
      </c>
      <c r="B17" s="77" t="s">
        <v>8</v>
      </c>
      <c r="C17" s="10">
        <v>1033</v>
      </c>
      <c r="D17" s="5">
        <v>1083</v>
      </c>
      <c r="E17" s="5">
        <v>-50</v>
      </c>
      <c r="F17" s="10">
        <v>1033</v>
      </c>
      <c r="G17" s="5">
        <v>1063</v>
      </c>
      <c r="H17" s="5">
        <v>-30</v>
      </c>
      <c r="I17" s="10">
        <v>1033</v>
      </c>
      <c r="J17" s="5">
        <v>962</v>
      </c>
      <c r="K17" s="5">
        <v>71</v>
      </c>
      <c r="L17" s="10">
        <v>833</v>
      </c>
      <c r="M17" s="5">
        <v>910</v>
      </c>
      <c r="N17" s="5">
        <v>-77</v>
      </c>
      <c r="O17" s="10">
        <f t="shared" si="0"/>
        <v>-9</v>
      </c>
      <c r="P17" s="97">
        <f t="shared" si="1"/>
        <v>-2.894821486008363E-3</v>
      </c>
      <c r="Q17" s="101" t="str">
        <f t="shared" si="3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111" t="str">
        <f>IF(AND(L17-I17&gt;=Summary!$C$110,N17-K17&gt;Summary!$C$110,N17&gt;0),"X"," ")</f>
        <v xml:space="preserve"> </v>
      </c>
      <c r="T17" s="99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2"/>
        <v xml:space="preserve"> </v>
      </c>
    </row>
    <row r="18" spans="1:22" x14ac:dyDescent="0.2">
      <c r="A18" s="42">
        <v>2892</v>
      </c>
      <c r="B18" s="77" t="s">
        <v>8</v>
      </c>
      <c r="C18" s="10">
        <v>5307</v>
      </c>
      <c r="D18" s="5">
        <v>4923</v>
      </c>
      <c r="E18" s="5">
        <v>384</v>
      </c>
      <c r="F18" s="10">
        <v>5307</v>
      </c>
      <c r="G18" s="5">
        <v>4779</v>
      </c>
      <c r="H18" s="5">
        <v>528</v>
      </c>
      <c r="I18" s="10">
        <v>5307</v>
      </c>
      <c r="J18" s="5">
        <v>4336</v>
      </c>
      <c r="K18" s="5">
        <v>971</v>
      </c>
      <c r="L18" s="10">
        <v>4307</v>
      </c>
      <c r="M18" s="5">
        <v>4212</v>
      </c>
      <c r="N18" s="5">
        <v>95</v>
      </c>
      <c r="O18" s="10">
        <f t="shared" si="0"/>
        <v>1883</v>
      </c>
      <c r="P18" s="97">
        <f t="shared" si="1"/>
        <v>0.13412636227651542</v>
      </c>
      <c r="Q18" s="101" t="str">
        <f t="shared" si="3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111" t="str">
        <f>IF(AND(L18-I18&gt;=Summary!$C$110,N18-K18&gt;Summary!$C$110,N18&gt;0),"X"," ")</f>
        <v xml:space="preserve"> </v>
      </c>
      <c r="T18" s="99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>X</v>
      </c>
      <c r="V18" t="str">
        <f t="shared" si="2"/>
        <v xml:space="preserve"> </v>
      </c>
    </row>
    <row r="19" spans="1:22" x14ac:dyDescent="0.2">
      <c r="A19" s="42">
        <v>2939</v>
      </c>
      <c r="B19" s="77" t="s">
        <v>8</v>
      </c>
      <c r="C19" s="10">
        <v>5000</v>
      </c>
      <c r="D19" s="5">
        <v>2056</v>
      </c>
      <c r="E19" s="5">
        <v>2944</v>
      </c>
      <c r="F19" s="10">
        <v>0</v>
      </c>
      <c r="G19" s="5">
        <v>2012</v>
      </c>
      <c r="H19" s="5">
        <v>-2012</v>
      </c>
      <c r="I19" s="10">
        <v>0</v>
      </c>
      <c r="J19" s="5">
        <v>1847</v>
      </c>
      <c r="K19" s="5">
        <v>-1847</v>
      </c>
      <c r="L19" s="10">
        <v>0</v>
      </c>
      <c r="M19" s="5">
        <v>1760</v>
      </c>
      <c r="N19" s="5">
        <v>-1760</v>
      </c>
      <c r="O19" s="10">
        <f t="shared" si="0"/>
        <v>-915</v>
      </c>
      <c r="P19" s="97">
        <f t="shared" si="1"/>
        <v>-0.15466531440162271</v>
      </c>
      <c r="Q19" s="101" t="str">
        <f t="shared" si="3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111" t="str">
        <f>IF(AND(L19-I19&gt;=Summary!$C$110,N19-K19&gt;Summary!$C$110,N19&gt;0),"X"," ")</f>
        <v xml:space="preserve"> </v>
      </c>
      <c r="T19" s="99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2"/>
        <v xml:space="preserve"> </v>
      </c>
    </row>
    <row r="20" spans="1:22" x14ac:dyDescent="0.2">
      <c r="A20" s="42">
        <v>3152</v>
      </c>
      <c r="B20" s="77" t="s">
        <v>8</v>
      </c>
      <c r="C20" s="10">
        <v>11732</v>
      </c>
      <c r="D20" s="5">
        <v>10078</v>
      </c>
      <c r="E20" s="5">
        <v>1654</v>
      </c>
      <c r="F20" s="10">
        <v>11732</v>
      </c>
      <c r="G20" s="5">
        <v>10043</v>
      </c>
      <c r="H20" s="5">
        <v>1689</v>
      </c>
      <c r="I20" s="10">
        <v>8732</v>
      </c>
      <c r="J20" s="5">
        <v>9020</v>
      </c>
      <c r="K20" s="5">
        <v>-288</v>
      </c>
      <c r="L20" s="10">
        <v>8300</v>
      </c>
      <c r="M20" s="5">
        <v>8305</v>
      </c>
      <c r="N20" s="5">
        <v>-5</v>
      </c>
      <c r="O20" s="10">
        <f t="shared" si="0"/>
        <v>3055</v>
      </c>
      <c r="P20" s="97">
        <f t="shared" si="1"/>
        <v>0.10483151465239174</v>
      </c>
      <c r="Q20" s="101" t="str">
        <f t="shared" si="3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111" t="str">
        <f>IF(AND(L20-I20&gt;=Summary!$C$110,N20-K20&gt;Summary!$C$110,N20&gt;0),"X"," ")</f>
        <v xml:space="preserve"> </v>
      </c>
      <c r="T20" s="99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>X</v>
      </c>
      <c r="V20" t="str">
        <f t="shared" si="2"/>
        <v xml:space="preserve"> </v>
      </c>
    </row>
    <row r="21" spans="1:22" x14ac:dyDescent="0.2">
      <c r="A21" s="42">
        <v>4303</v>
      </c>
      <c r="B21" s="77" t="s">
        <v>8</v>
      </c>
      <c r="C21" s="10">
        <v>3018</v>
      </c>
      <c r="D21" s="5">
        <v>2666</v>
      </c>
      <c r="E21" s="5">
        <v>352</v>
      </c>
      <c r="F21" s="10">
        <v>2768</v>
      </c>
      <c r="G21" s="5">
        <v>2573</v>
      </c>
      <c r="H21" s="5">
        <v>195</v>
      </c>
      <c r="I21" s="10">
        <v>2518</v>
      </c>
      <c r="J21" s="5">
        <v>2383</v>
      </c>
      <c r="K21" s="5">
        <v>135</v>
      </c>
      <c r="L21" s="10">
        <v>2306</v>
      </c>
      <c r="M21" s="5">
        <v>2242</v>
      </c>
      <c r="N21" s="5">
        <v>64</v>
      </c>
      <c r="O21" s="10">
        <f t="shared" si="0"/>
        <v>682</v>
      </c>
      <c r="P21" s="97">
        <f t="shared" si="1"/>
        <v>8.9466089466089471E-2</v>
      </c>
      <c r="Q21" s="101" t="str">
        <f t="shared" si="3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111" t="str">
        <f>IF(AND(L21-I21&gt;=Summary!$C$110,N21-K21&gt;Summary!$C$110,N21&gt;0),"X"," ")</f>
        <v xml:space="preserve"> </v>
      </c>
      <c r="T21" s="99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2"/>
        <v xml:space="preserve"> </v>
      </c>
    </row>
    <row r="22" spans="1:22" x14ac:dyDescent="0.2">
      <c r="A22" s="42">
        <v>6500</v>
      </c>
      <c r="B22" s="77" t="s">
        <v>8</v>
      </c>
      <c r="C22" s="10">
        <v>705641</v>
      </c>
      <c r="D22" s="5">
        <v>719030</v>
      </c>
      <c r="E22" s="5">
        <v>-13389</v>
      </c>
      <c r="F22" s="10">
        <v>707855</v>
      </c>
      <c r="G22" s="5">
        <v>728632</v>
      </c>
      <c r="H22" s="5">
        <v>-20777</v>
      </c>
      <c r="I22" s="10">
        <v>666847</v>
      </c>
      <c r="J22" s="5">
        <v>666842</v>
      </c>
      <c r="K22" s="5">
        <v>5</v>
      </c>
      <c r="L22" s="10">
        <v>582262</v>
      </c>
      <c r="M22" s="5">
        <v>573033</v>
      </c>
      <c r="N22" s="5">
        <v>9229</v>
      </c>
      <c r="O22" s="10">
        <f t="shared" si="0"/>
        <v>-34161</v>
      </c>
      <c r="P22" s="97">
        <f t="shared" si="1"/>
        <v>-1.6155554136783785E-2</v>
      </c>
      <c r="Q22" s="101" t="str">
        <f t="shared" si="3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111" t="str">
        <f>IF(AND(L22-I22&gt;=Summary!$C$110,N22-K22&gt;Summary!$C$110,N22&gt;0),"X"," ")</f>
        <v xml:space="preserve"> </v>
      </c>
      <c r="T22" s="99" t="str">
        <f>IF($C$4="High Inventory",IF(AND($O22&gt;=Summary!$C$106,$P22&gt;=0%),"X"," "),IF(AND($O22&lt;=-Summary!$C$106,$P22&lt;=0%),"X"," "))</f>
        <v xml:space="preserve"> 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2"/>
        <v xml:space="preserve"> </v>
      </c>
    </row>
    <row r="23" spans="1:22" x14ac:dyDescent="0.2">
      <c r="A23" s="42">
        <v>10656</v>
      </c>
      <c r="B23" s="77" t="s">
        <v>8</v>
      </c>
      <c r="C23" s="10">
        <v>248</v>
      </c>
      <c r="D23" s="5">
        <v>336</v>
      </c>
      <c r="E23" s="5">
        <v>-88</v>
      </c>
      <c r="F23" s="10">
        <v>248</v>
      </c>
      <c r="G23" s="5">
        <v>321</v>
      </c>
      <c r="H23" s="5">
        <v>-73</v>
      </c>
      <c r="I23" s="10">
        <v>248</v>
      </c>
      <c r="J23" s="5">
        <v>294</v>
      </c>
      <c r="K23" s="5">
        <v>-46</v>
      </c>
      <c r="L23" s="10">
        <v>0</v>
      </c>
      <c r="M23" s="5">
        <v>224</v>
      </c>
      <c r="N23" s="5">
        <v>-224</v>
      </c>
      <c r="O23" s="10">
        <f t="shared" si="0"/>
        <v>-207</v>
      </c>
      <c r="P23" s="97">
        <f t="shared" si="1"/>
        <v>-0.21743697478991597</v>
      </c>
      <c r="Q23" s="101" t="str">
        <f t="shared" si="3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111" t="str">
        <f>IF(AND(L23-I23&gt;=Summary!$C$110,N23-K23&gt;Summary!$C$110,N23&gt;0),"X"," ")</f>
        <v xml:space="preserve"> </v>
      </c>
      <c r="T23" s="99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2"/>
        <v xml:space="preserve"> </v>
      </c>
    </row>
    <row r="24" spans="1:22" x14ac:dyDescent="0.2">
      <c r="A24" s="42">
        <v>12296</v>
      </c>
      <c r="B24" s="77" t="s">
        <v>8</v>
      </c>
      <c r="C24" s="10">
        <v>2500</v>
      </c>
      <c r="D24" s="5">
        <v>2678</v>
      </c>
      <c r="E24" s="5">
        <v>-178</v>
      </c>
      <c r="F24" s="10">
        <v>2500</v>
      </c>
      <c r="G24" s="5">
        <v>2597</v>
      </c>
      <c r="H24" s="5">
        <v>-97</v>
      </c>
      <c r="I24" s="10">
        <v>2500</v>
      </c>
      <c r="J24" s="5">
        <v>2391</v>
      </c>
      <c r="K24" s="5">
        <v>109</v>
      </c>
      <c r="L24" s="10">
        <v>2370</v>
      </c>
      <c r="M24" s="5">
        <v>2304</v>
      </c>
      <c r="N24" s="5">
        <v>66</v>
      </c>
      <c r="O24" s="10">
        <f t="shared" si="0"/>
        <v>-166</v>
      </c>
      <c r="P24" s="97">
        <f t="shared" si="1"/>
        <v>-2.1651232555106301E-2</v>
      </c>
      <c r="Q24" s="101" t="str">
        <f t="shared" si="3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111" t="str">
        <f>IF(AND(L24-I24&gt;=Summary!$C$110,N24-K24&gt;Summary!$C$110,N24&gt;0),"X"," ")</f>
        <v xml:space="preserve"> </v>
      </c>
      <c r="T24" s="99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2"/>
        <v xml:space="preserve"> </v>
      </c>
    </row>
    <row r="25" spans="1:22" x14ac:dyDescent="0.2">
      <c r="A25" s="42">
        <v>16786</v>
      </c>
      <c r="B25" s="77" t="s">
        <v>8</v>
      </c>
      <c r="C25" s="10">
        <v>4464</v>
      </c>
      <c r="D25" s="5">
        <v>3764</v>
      </c>
      <c r="E25" s="5">
        <v>700</v>
      </c>
      <c r="F25" s="10">
        <v>4464</v>
      </c>
      <c r="G25" s="5">
        <v>3743</v>
      </c>
      <c r="H25" s="5">
        <v>721</v>
      </c>
      <c r="I25" s="10">
        <v>4464</v>
      </c>
      <c r="J25" s="5">
        <v>3468</v>
      </c>
      <c r="K25" s="5">
        <v>996</v>
      </c>
      <c r="L25" s="10">
        <v>4464</v>
      </c>
      <c r="M25" s="5">
        <v>3028</v>
      </c>
      <c r="N25" s="5">
        <v>1436</v>
      </c>
      <c r="O25" s="10">
        <f t="shared" si="0"/>
        <v>2417</v>
      </c>
      <c r="P25" s="97">
        <f t="shared" si="1"/>
        <v>0.22020772594752186</v>
      </c>
      <c r="Q25" s="101" t="str">
        <f t="shared" si="3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111" t="str">
        <f>IF(AND(L25-I25&gt;=Summary!$C$110,N25-K25&gt;Summary!$C$110,N25&gt;0),"X"," ")</f>
        <v xml:space="preserve"> </v>
      </c>
      <c r="T25" s="99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>X</v>
      </c>
      <c r="V25" t="str">
        <f t="shared" si="2"/>
        <v xml:space="preserve"> </v>
      </c>
    </row>
    <row r="26" spans="1:22" x14ac:dyDescent="0.2">
      <c r="A26" s="42">
        <v>17791</v>
      </c>
      <c r="B26" s="77" t="s">
        <v>8</v>
      </c>
      <c r="C26" s="10">
        <v>300</v>
      </c>
      <c r="D26" s="5">
        <v>372</v>
      </c>
      <c r="E26" s="5">
        <v>-72</v>
      </c>
      <c r="F26" s="10">
        <v>300</v>
      </c>
      <c r="G26" s="5">
        <v>370</v>
      </c>
      <c r="H26" s="5">
        <v>-70</v>
      </c>
      <c r="I26" s="10">
        <v>125</v>
      </c>
      <c r="J26" s="5">
        <v>328</v>
      </c>
      <c r="K26" s="5">
        <v>-203</v>
      </c>
      <c r="L26" s="10">
        <v>197</v>
      </c>
      <c r="M26" s="5">
        <v>293</v>
      </c>
      <c r="N26" s="5">
        <v>-96</v>
      </c>
      <c r="O26" s="10">
        <f t="shared" si="0"/>
        <v>-345</v>
      </c>
      <c r="P26" s="97">
        <f t="shared" si="1"/>
        <v>-0.32212885154061627</v>
      </c>
      <c r="Q26" s="101" t="str">
        <f t="shared" si="3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111" t="str">
        <f>IF(AND(L26-I26&gt;=Summary!$C$110,N26-K26&gt;Summary!$C$110,N26&gt;0),"X"," ")</f>
        <v xml:space="preserve"> </v>
      </c>
      <c r="T26" s="99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2"/>
        <v xml:space="preserve"> </v>
      </c>
    </row>
    <row r="27" spans="1:22" hidden="1" x14ac:dyDescent="0.2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3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111" t="str">
        <f>IF(AND(L27-I27&gt;=Summary!$C$110,N27-K27&gt;Summary!$C$110,N27&gt;0),"X"," ")</f>
        <v xml:space="preserve"> </v>
      </c>
      <c r="T27" s="99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2"/>
        <v xml:space="preserve"> </v>
      </c>
    </row>
    <row r="28" spans="1:22" hidden="1" x14ac:dyDescent="0.2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3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111" t="str">
        <f>IF(AND(L28-I28&gt;=Summary!$C$110,N28-K28&gt;Summary!$C$110,N28&gt;0),"X"," ")</f>
        <v xml:space="preserve"> </v>
      </c>
      <c r="T28" s="99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2"/>
        <v xml:space="preserve"> </v>
      </c>
    </row>
    <row r="29" spans="1:22" hidden="1" x14ac:dyDescent="0.2">
      <c r="A29" s="42"/>
      <c r="B29" s="77"/>
      <c r="C29" s="15">
        <v>36620</v>
      </c>
      <c r="D29" s="5"/>
      <c r="E29" s="5"/>
      <c r="F29" s="15">
        <v>36621</v>
      </c>
      <c r="G29" s="5"/>
      <c r="H29" s="5"/>
      <c r="I29" s="15">
        <v>36622</v>
      </c>
      <c r="J29" s="5"/>
      <c r="K29" s="5"/>
      <c r="L29" s="15">
        <v>36623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3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111" t="str">
        <f>IF(AND(L29-I29&gt;=Summary!$C$110,N29-K29&gt;Summary!$C$110,N29&gt;0),"X"," ")</f>
        <v xml:space="preserve"> </v>
      </c>
      <c r="T29" s="99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2"/>
        <v xml:space="preserve"> </v>
      </c>
    </row>
    <row r="30" spans="1:22" hidden="1" x14ac:dyDescent="0.2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3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111" t="e">
        <f>IF(AND(L30-I30&gt;=Summary!$C$110,N30-K30&gt;Summary!$C$110,N30&gt;0),"X"," ")</f>
        <v>#VALUE!</v>
      </c>
      <c r="T30" s="99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2"/>
        <v>#VALUE!</v>
      </c>
    </row>
    <row r="31" spans="1:22" x14ac:dyDescent="0.2">
      <c r="A31" s="42">
        <v>1117</v>
      </c>
      <c r="B31" s="77" t="s">
        <v>15</v>
      </c>
      <c r="C31" s="10">
        <v>92343</v>
      </c>
      <c r="D31" s="5">
        <v>72356</v>
      </c>
      <c r="E31" s="5">
        <v>19987</v>
      </c>
      <c r="F31" s="10">
        <v>88535</v>
      </c>
      <c r="G31" s="5">
        <v>76165</v>
      </c>
      <c r="H31" s="5">
        <v>12370</v>
      </c>
      <c r="I31" s="10">
        <v>88534</v>
      </c>
      <c r="J31" s="5">
        <v>78293</v>
      </c>
      <c r="K31" s="5">
        <v>10241</v>
      </c>
      <c r="L31" s="10">
        <v>68964</v>
      </c>
      <c r="M31" s="5">
        <v>72238</v>
      </c>
      <c r="N31" s="5">
        <v>-3274</v>
      </c>
      <c r="O31" s="10">
        <f t="shared" si="0"/>
        <v>42598</v>
      </c>
      <c r="P31" s="97">
        <f t="shared" si="1"/>
        <v>0.18780944822873266</v>
      </c>
      <c r="Q31" s="101" t="str">
        <f t="shared" si="3"/>
        <v xml:space="preserve"> </v>
      </c>
      <c r="R31" s="91" t="str">
        <f>IF($C$4="High Inventory",IF(AND(O31&gt;=Summary!$C$106,P31&gt;=Summary!$C$107),"X"," "),IF(AND(O31&lt;=-Summary!$C$106,P31&lt;=-Summary!$C$107),"X"," "))</f>
        <v>X</v>
      </c>
      <c r="S31" s="111" t="str">
        <f>IF(AND(L31-I31&gt;=Summary!$C$110,N31-K31&gt;Summary!$C$110,N31&gt;0),"X"," ")</f>
        <v xml:space="preserve"> </v>
      </c>
      <c r="T31" s="99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>X</v>
      </c>
      <c r="V31" t="str">
        <f t="shared" si="2"/>
        <v xml:space="preserve"> </v>
      </c>
    </row>
    <row r="32" spans="1:22" x14ac:dyDescent="0.2">
      <c r="A32" s="42">
        <v>1126</v>
      </c>
      <c r="B32" s="77" t="s">
        <v>15</v>
      </c>
      <c r="C32" s="10">
        <v>34918</v>
      </c>
      <c r="D32" s="5">
        <v>29000</v>
      </c>
      <c r="E32" s="5">
        <v>5918</v>
      </c>
      <c r="F32" s="10">
        <v>34918</v>
      </c>
      <c r="G32" s="5">
        <v>30423</v>
      </c>
      <c r="H32" s="5">
        <v>4495</v>
      </c>
      <c r="I32" s="10">
        <v>32918</v>
      </c>
      <c r="J32" s="5">
        <v>31073</v>
      </c>
      <c r="K32" s="5">
        <v>1845</v>
      </c>
      <c r="L32" s="10">
        <v>32918</v>
      </c>
      <c r="M32" s="5">
        <v>30646</v>
      </c>
      <c r="N32" s="5">
        <v>2272</v>
      </c>
      <c r="O32" s="10">
        <f t="shared" si="0"/>
        <v>12258</v>
      </c>
      <c r="P32" s="97">
        <f t="shared" si="1"/>
        <v>0.13545200393383205</v>
      </c>
      <c r="Q32" s="101" t="str">
        <f t="shared" si="3"/>
        <v xml:space="preserve"> </v>
      </c>
      <c r="R32" s="91" t="str">
        <f>IF($C$4="High Inventory",IF(AND(O32&gt;=Summary!$C$106,P32&gt;=Summary!$C$107),"X"," "),IF(AND(O32&lt;=-Summary!$C$106,P32&lt;=-Summary!$C$107),"X"," "))</f>
        <v>X</v>
      </c>
      <c r="S32" s="111" t="str">
        <f>IF(AND(L32-I32&gt;=Summary!$C$110,N32-K32&gt;Summary!$C$110,N32&gt;0),"X"," ")</f>
        <v xml:space="preserve"> </v>
      </c>
      <c r="T32" s="99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2"/>
        <v xml:space="preserve"> </v>
      </c>
    </row>
    <row r="33" spans="1:22" x14ac:dyDescent="0.2">
      <c r="A33" s="42">
        <v>1157</v>
      </c>
      <c r="B33" s="77" t="s">
        <v>15</v>
      </c>
      <c r="C33" s="10">
        <v>67644</v>
      </c>
      <c r="D33" s="5">
        <v>81626</v>
      </c>
      <c r="E33" s="5">
        <v>-13982</v>
      </c>
      <c r="F33" s="10">
        <v>65773</v>
      </c>
      <c r="G33" s="5">
        <v>85511</v>
      </c>
      <c r="H33" s="5">
        <v>-19738</v>
      </c>
      <c r="I33" s="10">
        <v>61995</v>
      </c>
      <c r="J33" s="5">
        <v>84431</v>
      </c>
      <c r="K33" s="5">
        <v>-22436</v>
      </c>
      <c r="L33" s="10">
        <v>77082</v>
      </c>
      <c r="M33" s="5">
        <v>80090</v>
      </c>
      <c r="N33" s="5">
        <v>-3008</v>
      </c>
      <c r="O33" s="10">
        <f t="shared" si="0"/>
        <v>-56156</v>
      </c>
      <c r="P33" s="97">
        <f t="shared" si="1"/>
        <v>-0.22322305212486435</v>
      </c>
      <c r="Q33" s="101" t="str">
        <f t="shared" si="3"/>
        <v xml:space="preserve"> </v>
      </c>
      <c r="R33" s="91" t="str">
        <f>IF($C$4="High Inventory",IF(AND(O33&gt;=Summary!$C$106,P33&gt;=Summary!$C$107),"X"," "),IF(AND(O33&lt;=-Summary!$C$106,P33&lt;=-Summary!$C$107),"X"," "))</f>
        <v xml:space="preserve"> </v>
      </c>
      <c r="S33" s="111" t="str">
        <f>IF(AND(L33-I33&gt;=Summary!$C$110,N33-K33&gt;Summary!$C$110,N33&gt;0),"X"," ")</f>
        <v xml:space="preserve"> </v>
      </c>
      <c r="T33" s="99" t="str">
        <f>IF($C$4="High Inventory",IF(AND($O33&gt;=Summary!$C$106,$P33&gt;=0%),"X"," "),IF(AND($O33&lt;=-Summary!$C$106,$P33&lt;=0%),"X"," "))</f>
        <v xml:space="preserve"> </v>
      </c>
      <c r="U33" s="21" t="str">
        <f>IF($C$4="High Inventory",IF(AND($O33&gt;=0,$P33&gt;=Summary!$C$107),"X"," "),IF(AND($O33&lt;=0,$P33&lt;=-Summary!$C$107),"X"," "))</f>
        <v xml:space="preserve"> </v>
      </c>
      <c r="V33" t="str">
        <f t="shared" si="2"/>
        <v xml:space="preserve"> </v>
      </c>
    </row>
    <row r="34" spans="1:22" x14ac:dyDescent="0.2">
      <c r="A34" s="42">
        <v>1281</v>
      </c>
      <c r="B34" s="77" t="s">
        <v>15</v>
      </c>
      <c r="C34" s="10">
        <v>16818</v>
      </c>
      <c r="D34" s="5">
        <v>25539</v>
      </c>
      <c r="E34" s="5">
        <v>-8721</v>
      </c>
      <c r="F34" s="10">
        <v>15243</v>
      </c>
      <c r="G34" s="5">
        <v>26348</v>
      </c>
      <c r="H34" s="5">
        <v>-11105</v>
      </c>
      <c r="I34" s="10">
        <v>5276</v>
      </c>
      <c r="J34" s="5">
        <v>26903</v>
      </c>
      <c r="K34" s="5">
        <v>-21627</v>
      </c>
      <c r="L34" s="10">
        <v>25266</v>
      </c>
      <c r="M34" s="5">
        <v>26240</v>
      </c>
      <c r="N34" s="5">
        <v>-974</v>
      </c>
      <c r="O34" s="10">
        <f t="shared" si="0"/>
        <v>-41453</v>
      </c>
      <c r="P34" s="97">
        <f t="shared" si="1"/>
        <v>-0.52611338858499068</v>
      </c>
      <c r="Q34" s="101" t="str">
        <f t="shared" si="3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111" t="str">
        <f>IF(AND(L34-I34&gt;=Summary!$C$110,N34-K34&gt;Summary!$C$110,N34&gt;0),"X"," ")</f>
        <v xml:space="preserve"> </v>
      </c>
      <c r="T34" s="99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 t="str">
        <f t="shared" si="2"/>
        <v xml:space="preserve"> </v>
      </c>
    </row>
    <row r="35" spans="1:22" x14ac:dyDescent="0.2">
      <c r="A35" s="42">
        <v>1340</v>
      </c>
      <c r="B35" s="77" t="s">
        <v>15</v>
      </c>
      <c r="C35" s="10">
        <v>4101</v>
      </c>
      <c r="D35" s="5">
        <v>5026</v>
      </c>
      <c r="E35" s="5">
        <v>-925</v>
      </c>
      <c r="F35" s="10">
        <v>3007</v>
      </c>
      <c r="G35" s="5">
        <v>5414</v>
      </c>
      <c r="H35" s="5">
        <v>-2407</v>
      </c>
      <c r="I35" s="10">
        <v>5218</v>
      </c>
      <c r="J35" s="5">
        <v>5276</v>
      </c>
      <c r="K35" s="5">
        <v>-58</v>
      </c>
      <c r="L35" s="10">
        <v>5218</v>
      </c>
      <c r="M35" s="5">
        <v>5397</v>
      </c>
      <c r="N35" s="5">
        <v>-179</v>
      </c>
      <c r="O35" s="10">
        <f t="shared" si="0"/>
        <v>-3390</v>
      </c>
      <c r="P35" s="97">
        <f t="shared" si="1"/>
        <v>-0.21569001717885092</v>
      </c>
      <c r="Q35" s="101" t="str">
        <f t="shared" si="3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111" t="str">
        <f>IF(AND(L35-I35&gt;=Summary!$C$110,N35-K35&gt;Summary!$C$110,N35&gt;0),"X"," ")</f>
        <v xml:space="preserve"> </v>
      </c>
      <c r="T35" s="99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2"/>
        <v xml:space="preserve"> </v>
      </c>
    </row>
    <row r="36" spans="1:22" x14ac:dyDescent="0.2">
      <c r="A36" s="42">
        <v>1377</v>
      </c>
      <c r="B36" s="77" t="s">
        <v>15</v>
      </c>
      <c r="C36" s="10">
        <v>83456</v>
      </c>
      <c r="D36" s="5">
        <v>80997</v>
      </c>
      <c r="E36" s="5">
        <v>2459</v>
      </c>
      <c r="F36" s="10">
        <v>87981</v>
      </c>
      <c r="G36" s="5">
        <v>77044</v>
      </c>
      <c r="H36" s="5">
        <v>10937</v>
      </c>
      <c r="I36" s="10">
        <v>79720</v>
      </c>
      <c r="J36" s="5">
        <v>74081</v>
      </c>
      <c r="K36" s="5">
        <v>5639</v>
      </c>
      <c r="L36" s="10">
        <v>70805</v>
      </c>
      <c r="M36" s="5">
        <v>71617</v>
      </c>
      <c r="N36" s="5">
        <v>-812</v>
      </c>
      <c r="O36" s="10">
        <f t="shared" si="0"/>
        <v>19035</v>
      </c>
      <c r="P36" s="97">
        <f t="shared" si="1"/>
        <v>8.2003937567582702E-2</v>
      </c>
      <c r="Q36" s="101" t="str">
        <f t="shared" si="3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111" t="str">
        <f>IF(AND(L36-I36&gt;=Summary!$C$110,N36-K36&gt;Summary!$C$110,N36&gt;0),"X"," ")</f>
        <v xml:space="preserve"> </v>
      </c>
      <c r="T36" s="99" t="str">
        <f>IF($C$4="High Inventory",IF(AND($O36&gt;=Summary!$C$106,$P36&gt;=0%),"X"," "),IF(AND($O36&lt;=-Summary!$C$106,$P36&lt;=0%),"X"," "))</f>
        <v>X</v>
      </c>
      <c r="U36" s="21" t="str">
        <f>IF($C$4="High Inventory",IF(AND($O36&gt;=0,$P36&gt;=Summary!$C$107),"X"," "),IF(AND($O36&lt;=0,$P36&lt;=-Summary!$C$107),"X"," "))</f>
        <v xml:space="preserve"> </v>
      </c>
      <c r="V36" t="str">
        <f t="shared" si="2"/>
        <v xml:space="preserve"> </v>
      </c>
    </row>
    <row r="37" spans="1:22" x14ac:dyDescent="0.2">
      <c r="A37" s="42">
        <v>1830</v>
      </c>
      <c r="B37" s="77" t="s">
        <v>15</v>
      </c>
      <c r="C37" s="10">
        <v>0</v>
      </c>
      <c r="D37" s="5">
        <v>1</v>
      </c>
      <c r="E37" s="5">
        <v>-1</v>
      </c>
      <c r="F37" s="10">
        <v>0</v>
      </c>
      <c r="G37" s="5">
        <v>1</v>
      </c>
      <c r="H37" s="5">
        <v>-1</v>
      </c>
      <c r="I37" s="10">
        <v>0</v>
      </c>
      <c r="J37" s="5">
        <v>1072</v>
      </c>
      <c r="K37" s="5">
        <v>-1072</v>
      </c>
      <c r="L37" s="10">
        <v>1074</v>
      </c>
      <c r="M37" s="5">
        <v>1</v>
      </c>
      <c r="N37" s="5">
        <v>1073</v>
      </c>
      <c r="O37" s="10">
        <f t="shared" si="0"/>
        <v>-1074</v>
      </c>
      <c r="P37" s="97">
        <f t="shared" si="1"/>
        <v>-0.99906976744186049</v>
      </c>
      <c r="Q37" s="101" t="str">
        <f t="shared" si="3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111" t="str">
        <f>IF(AND(L37-I37&gt;=Summary!$C$110,N37-K37&gt;Summary!$C$110,N37&gt;0),"X"," ")</f>
        <v xml:space="preserve"> </v>
      </c>
      <c r="T37" s="99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2"/>
        <v xml:space="preserve"> </v>
      </c>
    </row>
    <row r="38" spans="1:22" x14ac:dyDescent="0.2">
      <c r="A38" s="42">
        <v>1864</v>
      </c>
      <c r="B38" s="77" t="s">
        <v>15</v>
      </c>
      <c r="C38" s="10">
        <v>230419</v>
      </c>
      <c r="D38" s="5">
        <v>182549</v>
      </c>
      <c r="E38" s="5">
        <v>47870</v>
      </c>
      <c r="F38" s="10">
        <v>208864</v>
      </c>
      <c r="G38" s="5">
        <v>174642</v>
      </c>
      <c r="H38" s="5">
        <v>34222</v>
      </c>
      <c r="I38" s="10">
        <v>201844</v>
      </c>
      <c r="J38" s="5">
        <v>163082</v>
      </c>
      <c r="K38" s="5">
        <v>38762</v>
      </c>
      <c r="L38" s="10">
        <v>178534</v>
      </c>
      <c r="M38" s="5">
        <v>161747</v>
      </c>
      <c r="N38" s="5">
        <v>16787</v>
      </c>
      <c r="O38" s="10">
        <f t="shared" si="0"/>
        <v>120854</v>
      </c>
      <c r="P38" s="97">
        <f t="shared" si="1"/>
        <v>0.23228913995317851</v>
      </c>
      <c r="Q38" s="101" t="str">
        <f t="shared" si="3"/>
        <v xml:space="preserve"> </v>
      </c>
      <c r="R38" s="91" t="str">
        <f>IF($C$4="High Inventory",IF(AND(O38&gt;=Summary!$C$106,P38&gt;=Summary!$C$107),"X"," "),IF(AND(O38&lt;=-Summary!$C$106,P38&lt;=-Summary!$C$107),"X"," "))</f>
        <v>X</v>
      </c>
      <c r="S38" s="111" t="str">
        <f>IF(AND(L38-I38&gt;=Summary!$C$110,N38-K38&gt;Summary!$C$110,N38&gt;0),"X"," ")</f>
        <v xml:space="preserve"> </v>
      </c>
      <c r="T38" s="99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>X</v>
      </c>
      <c r="V38" t="str">
        <f t="shared" si="2"/>
        <v xml:space="preserve"> </v>
      </c>
    </row>
    <row r="39" spans="1:22" x14ac:dyDescent="0.2">
      <c r="A39" s="42">
        <v>1922</v>
      </c>
      <c r="B39" s="77" t="s">
        <v>15</v>
      </c>
      <c r="C39" s="10">
        <v>39458</v>
      </c>
      <c r="D39" s="5">
        <v>30520</v>
      </c>
      <c r="E39" s="5">
        <v>8938</v>
      </c>
      <c r="F39" s="10">
        <v>37306</v>
      </c>
      <c r="G39" s="5">
        <v>31166</v>
      </c>
      <c r="H39" s="5">
        <v>6140</v>
      </c>
      <c r="I39" s="10">
        <v>33926</v>
      </c>
      <c r="J39" s="5">
        <v>32135</v>
      </c>
      <c r="K39" s="5">
        <v>1791</v>
      </c>
      <c r="L39" s="10">
        <v>26684</v>
      </c>
      <c r="M39" s="5">
        <v>32822</v>
      </c>
      <c r="N39" s="5">
        <v>-6138</v>
      </c>
      <c r="O39" s="10">
        <f t="shared" si="0"/>
        <v>16869</v>
      </c>
      <c r="P39" s="97">
        <f t="shared" si="1"/>
        <v>0.17979791520112554</v>
      </c>
      <c r="Q39" s="101" t="str">
        <f t="shared" si="3"/>
        <v xml:space="preserve"> </v>
      </c>
      <c r="R39" s="91" t="str">
        <f>IF($C$4="High Inventory",IF(AND(O39&gt;=Summary!$C$106,P39&gt;=Summary!$C$107),"X"," "),IF(AND(O39&lt;=-Summary!$C$106,P39&lt;=-Summary!$C$107),"X"," "))</f>
        <v>X</v>
      </c>
      <c r="S39" s="111" t="str">
        <f>IF(AND(L39-I39&gt;=Summary!$C$110,N39-K39&gt;Summary!$C$110,N39&gt;0),"X"," ")</f>
        <v xml:space="preserve"> </v>
      </c>
      <c r="T39" s="99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2"/>
        <v xml:space="preserve"> </v>
      </c>
    </row>
    <row r="40" spans="1:22" x14ac:dyDescent="0.2">
      <c r="A40" s="42">
        <v>1928</v>
      </c>
      <c r="B40" s="77" t="s">
        <v>15</v>
      </c>
      <c r="C40" s="10">
        <v>16689</v>
      </c>
      <c r="D40" s="5">
        <v>18147</v>
      </c>
      <c r="E40" s="5">
        <v>-1458</v>
      </c>
      <c r="F40" s="10">
        <v>16689</v>
      </c>
      <c r="G40" s="5">
        <v>17173</v>
      </c>
      <c r="H40" s="5">
        <v>-484</v>
      </c>
      <c r="I40" s="10">
        <v>16689</v>
      </c>
      <c r="J40" s="5">
        <v>18850</v>
      </c>
      <c r="K40" s="5">
        <v>-2161</v>
      </c>
      <c r="L40" s="10">
        <v>14689</v>
      </c>
      <c r="M40" s="5">
        <v>19057</v>
      </c>
      <c r="N40" s="5">
        <v>-4368</v>
      </c>
      <c r="O40" s="10">
        <f t="shared" si="0"/>
        <v>-4103</v>
      </c>
      <c r="P40" s="97">
        <f t="shared" si="1"/>
        <v>-7.5741632977054149E-2</v>
      </c>
      <c r="Q40" s="101" t="str">
        <f t="shared" si="3"/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111" t="str">
        <f>IF(AND(L40-I40&gt;=Summary!$C$110,N40-K40&gt;Summary!$C$110,N40&gt;0),"X"," ")</f>
        <v xml:space="preserve"> </v>
      </c>
      <c r="T40" s="99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2"/>
        <v xml:space="preserve"> </v>
      </c>
    </row>
    <row r="41" spans="1:22" x14ac:dyDescent="0.2">
      <c r="A41" s="42">
        <v>2056</v>
      </c>
      <c r="B41" s="77" t="s">
        <v>15</v>
      </c>
      <c r="C41" s="10">
        <v>67368</v>
      </c>
      <c r="D41" s="5">
        <v>71142</v>
      </c>
      <c r="E41" s="5">
        <v>-3774</v>
      </c>
      <c r="F41" s="10">
        <v>62368</v>
      </c>
      <c r="G41" s="5">
        <v>72914</v>
      </c>
      <c r="H41" s="5">
        <v>-10546</v>
      </c>
      <c r="I41" s="10">
        <v>67368</v>
      </c>
      <c r="J41" s="5">
        <v>70441</v>
      </c>
      <c r="K41" s="5">
        <v>-3073</v>
      </c>
      <c r="L41" s="10">
        <v>64368</v>
      </c>
      <c r="M41" s="5">
        <v>73357</v>
      </c>
      <c r="N41" s="5">
        <v>-8989</v>
      </c>
      <c r="O41" s="10">
        <f t="shared" si="0"/>
        <v>-17393</v>
      </c>
      <c r="P41" s="97">
        <f t="shared" si="1"/>
        <v>-8.1087003142220435E-2</v>
      </c>
      <c r="Q41" s="101" t="str">
        <f t="shared" si="3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111" t="str">
        <f>IF(AND(L41-I41&gt;=Summary!$C$110,N41-K41&gt;Summary!$C$110,N41&gt;0),"X"," ")</f>
        <v xml:space="preserve"> </v>
      </c>
      <c r="T41" s="99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2"/>
        <v xml:space="preserve"> </v>
      </c>
    </row>
    <row r="42" spans="1:22" x14ac:dyDescent="0.2">
      <c r="A42" s="42">
        <v>2280</v>
      </c>
      <c r="B42" s="77" t="s">
        <v>15</v>
      </c>
      <c r="C42" s="10">
        <v>5808</v>
      </c>
      <c r="D42" s="5">
        <v>7311</v>
      </c>
      <c r="E42" s="5">
        <v>-1503</v>
      </c>
      <c r="F42" s="10">
        <v>5808</v>
      </c>
      <c r="G42" s="5">
        <v>7107</v>
      </c>
      <c r="H42" s="5">
        <v>-1299</v>
      </c>
      <c r="I42" s="10">
        <v>5808</v>
      </c>
      <c r="J42" s="5">
        <v>7145</v>
      </c>
      <c r="K42" s="5">
        <v>-1337</v>
      </c>
      <c r="L42" s="10">
        <v>5768</v>
      </c>
      <c r="M42" s="5">
        <v>6430</v>
      </c>
      <c r="N42" s="5">
        <v>-662</v>
      </c>
      <c r="O42" s="10">
        <f t="shared" si="0"/>
        <v>-4139</v>
      </c>
      <c r="P42" s="97">
        <f t="shared" si="1"/>
        <v>-0.19194027082173995</v>
      </c>
      <c r="Q42" s="101" t="str">
        <f t="shared" si="3"/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111" t="str">
        <f>IF(AND(L42-I42&gt;=Summary!$C$110,N42-K42&gt;Summary!$C$110,N42&gt;0),"X"," ")</f>
        <v xml:space="preserve"> </v>
      </c>
      <c r="T42" s="99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">
      <c r="A43" s="42">
        <v>2584</v>
      </c>
      <c r="B43" s="77" t="s">
        <v>15</v>
      </c>
      <c r="C43" s="10">
        <v>50297</v>
      </c>
      <c r="D43" s="5">
        <v>55452</v>
      </c>
      <c r="E43" s="5">
        <v>-5155</v>
      </c>
      <c r="F43" s="10">
        <v>50297</v>
      </c>
      <c r="G43" s="5">
        <v>56850</v>
      </c>
      <c r="H43" s="5">
        <v>-6553</v>
      </c>
      <c r="I43" s="10">
        <v>54186</v>
      </c>
      <c r="J43" s="5">
        <v>54875</v>
      </c>
      <c r="K43" s="5">
        <v>-689</v>
      </c>
      <c r="L43" s="10">
        <v>36685</v>
      </c>
      <c r="M43" s="5">
        <v>54549</v>
      </c>
      <c r="N43" s="5">
        <v>-17864</v>
      </c>
      <c r="O43" s="10">
        <f t="shared" si="0"/>
        <v>-12397</v>
      </c>
      <c r="P43" s="97">
        <f t="shared" si="1"/>
        <v>-7.4154494012370051E-2</v>
      </c>
      <c r="Q43" s="101" t="str">
        <f t="shared" si="3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111" t="str">
        <f>IF(AND(L43-I43&gt;=Summary!$C$110,N43-K43&gt;Summary!$C$110,N43&gt;0),"X"," ")</f>
        <v xml:space="preserve"> </v>
      </c>
      <c r="T43" s="99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">
      <c r="A44" s="42">
        <v>2771</v>
      </c>
      <c r="B44" s="77" t="s">
        <v>15</v>
      </c>
      <c r="C44" s="10">
        <v>69884</v>
      </c>
      <c r="D44" s="5">
        <v>30721</v>
      </c>
      <c r="E44" s="5">
        <v>39163</v>
      </c>
      <c r="F44" s="10">
        <v>28502</v>
      </c>
      <c r="G44" s="5">
        <v>32674</v>
      </c>
      <c r="H44" s="5">
        <v>-4172</v>
      </c>
      <c r="I44" s="10">
        <v>37594</v>
      </c>
      <c r="J44" s="5">
        <v>28541</v>
      </c>
      <c r="K44" s="5">
        <v>9053</v>
      </c>
      <c r="L44" s="10">
        <v>26262</v>
      </c>
      <c r="M44" s="5">
        <v>28237</v>
      </c>
      <c r="N44" s="5">
        <v>-1975</v>
      </c>
      <c r="O44" s="10">
        <f t="shared" si="0"/>
        <v>44044</v>
      </c>
      <c r="P44" s="97">
        <f t="shared" si="1"/>
        <v>0.47906718731305131</v>
      </c>
      <c r="Q44" s="101" t="str">
        <f t="shared" si="3"/>
        <v xml:space="preserve"> </v>
      </c>
      <c r="R44" s="91" t="str">
        <f>IF($C$4="High Inventory",IF(AND(O44&gt;=Summary!$C$106,P44&gt;=Summary!$C$107),"X"," "),IF(AND(O44&lt;=-Summary!$C$106,P44&lt;=-Summary!$C$107),"X"," "))</f>
        <v>X</v>
      </c>
      <c r="S44" s="111" t="str">
        <f>IF(AND(L44-I44&gt;=Summary!$C$110,N44-K44&gt;Summary!$C$110,N44&gt;0),"X"," ")</f>
        <v xml:space="preserve"> </v>
      </c>
      <c r="T44" s="99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4"/>
        <v xml:space="preserve"> </v>
      </c>
    </row>
    <row r="45" spans="1:22" x14ac:dyDescent="0.2">
      <c r="A45" s="42">
        <v>2832</v>
      </c>
      <c r="B45" s="77" t="s">
        <v>15</v>
      </c>
      <c r="C45" s="10">
        <v>3600</v>
      </c>
      <c r="D45" s="5">
        <v>6227</v>
      </c>
      <c r="E45" s="5">
        <v>-2627</v>
      </c>
      <c r="F45" s="10">
        <v>3600</v>
      </c>
      <c r="G45" s="5">
        <v>6434</v>
      </c>
      <c r="H45" s="5">
        <v>-2834</v>
      </c>
      <c r="I45" s="10">
        <v>3600</v>
      </c>
      <c r="J45" s="5">
        <v>6363</v>
      </c>
      <c r="K45" s="5">
        <v>-2763</v>
      </c>
      <c r="L45" s="10">
        <v>3800</v>
      </c>
      <c r="M45" s="5">
        <v>6752</v>
      </c>
      <c r="N45" s="5">
        <v>-2952</v>
      </c>
      <c r="O45" s="10">
        <f t="shared" si="0"/>
        <v>-8224</v>
      </c>
      <c r="P45" s="97">
        <f t="shared" si="1"/>
        <v>-0.43227332457293033</v>
      </c>
      <c r="Q45" s="101" t="str">
        <f t="shared" si="3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111" t="str">
        <f>IF(AND(L45-I45&gt;=Summary!$C$110,N45-K45&gt;Summary!$C$110,N45&gt;0),"X"," ")</f>
        <v xml:space="preserve"> </v>
      </c>
      <c r="T45" s="99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">
      <c r="A46" s="42">
        <v>2892</v>
      </c>
      <c r="B46" s="77" t="s">
        <v>15</v>
      </c>
      <c r="C46" s="10">
        <v>170</v>
      </c>
      <c r="D46" s="5">
        <v>226</v>
      </c>
      <c r="E46" s="5">
        <v>-56</v>
      </c>
      <c r="F46" s="10">
        <v>170</v>
      </c>
      <c r="G46" s="5">
        <v>224</v>
      </c>
      <c r="H46" s="5">
        <v>-54</v>
      </c>
      <c r="I46" s="10">
        <v>170</v>
      </c>
      <c r="J46" s="5">
        <v>239</v>
      </c>
      <c r="K46" s="5">
        <v>-69</v>
      </c>
      <c r="L46" s="10">
        <v>140</v>
      </c>
      <c r="M46" s="5">
        <v>221</v>
      </c>
      <c r="N46" s="5">
        <v>-81</v>
      </c>
      <c r="O46" s="10">
        <f t="shared" si="0"/>
        <v>-179</v>
      </c>
      <c r="P46" s="97">
        <f t="shared" si="1"/>
        <v>-0.25942028985507248</v>
      </c>
      <c r="Q46" s="101" t="str">
        <f t="shared" si="3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111" t="str">
        <f>IF(AND(L46-I46&gt;=Summary!$C$110,N46-K46&gt;Summary!$C$110,N46&gt;0),"X"," ")</f>
        <v xml:space="preserve"> </v>
      </c>
      <c r="T46" s="99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">
      <c r="A47" s="42">
        <v>3015</v>
      </c>
      <c r="B47" s="77" t="s">
        <v>15</v>
      </c>
      <c r="C47" s="10">
        <v>5795</v>
      </c>
      <c r="D47" s="5">
        <v>20123</v>
      </c>
      <c r="E47" s="5">
        <v>-14328</v>
      </c>
      <c r="F47" s="10">
        <v>4804</v>
      </c>
      <c r="G47" s="5">
        <v>20358</v>
      </c>
      <c r="H47" s="5">
        <v>-15554</v>
      </c>
      <c r="I47" s="10">
        <v>17171</v>
      </c>
      <c r="J47" s="5">
        <v>20702</v>
      </c>
      <c r="K47" s="5">
        <v>-3531</v>
      </c>
      <c r="L47" s="10">
        <v>13434</v>
      </c>
      <c r="M47" s="5">
        <v>20412</v>
      </c>
      <c r="N47" s="5">
        <v>-6978</v>
      </c>
      <c r="O47" s="10">
        <f t="shared" si="0"/>
        <v>-33413</v>
      </c>
      <c r="P47" s="97">
        <f t="shared" si="1"/>
        <v>-0.5461068253138075</v>
      </c>
      <c r="Q47" s="101" t="str">
        <f t="shared" si="3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111" t="str">
        <f>IF(AND(L47-I47&gt;=Summary!$C$110,N47-K47&gt;Summary!$C$110,N47&gt;0),"X"," ")</f>
        <v xml:space="preserve"> </v>
      </c>
      <c r="T47" s="99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">
      <c r="A48" s="42">
        <v>4303</v>
      </c>
      <c r="B48" s="77" t="s">
        <v>15</v>
      </c>
      <c r="C48" s="10">
        <v>3260</v>
      </c>
      <c r="D48" s="5">
        <v>3084</v>
      </c>
      <c r="E48" s="5">
        <v>176</v>
      </c>
      <c r="F48" s="10">
        <v>3722</v>
      </c>
      <c r="G48" s="5">
        <v>3336</v>
      </c>
      <c r="H48" s="5">
        <v>386</v>
      </c>
      <c r="I48" s="10">
        <v>3835</v>
      </c>
      <c r="J48" s="5">
        <v>3740</v>
      </c>
      <c r="K48" s="5">
        <v>95</v>
      </c>
      <c r="L48" s="10">
        <v>3248</v>
      </c>
      <c r="M48" s="5">
        <v>3513</v>
      </c>
      <c r="N48" s="5">
        <v>-265</v>
      </c>
      <c r="O48" s="10">
        <f t="shared" si="0"/>
        <v>657</v>
      </c>
      <c r="P48" s="97">
        <f t="shared" si="1"/>
        <v>6.4658990256864488E-2</v>
      </c>
      <c r="Q48" s="101" t="str">
        <f t="shared" si="3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111" t="str">
        <f>IF(AND(L48-I48&gt;=Summary!$C$110,N48-K48&gt;Summary!$C$110,N48&gt;0),"X"," ")</f>
        <v xml:space="preserve"> </v>
      </c>
      <c r="T48" s="99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4"/>
        <v xml:space="preserve"> </v>
      </c>
    </row>
    <row r="49" spans="1:22" x14ac:dyDescent="0.2">
      <c r="A49" s="42">
        <v>4438</v>
      </c>
      <c r="B49" s="77" t="s">
        <v>15</v>
      </c>
      <c r="C49" s="10">
        <v>58968</v>
      </c>
      <c r="D49" s="5">
        <v>58586</v>
      </c>
      <c r="E49" s="5">
        <v>382</v>
      </c>
      <c r="F49" s="10">
        <v>53967</v>
      </c>
      <c r="G49" s="5">
        <v>58927</v>
      </c>
      <c r="H49" s="5">
        <v>-4960</v>
      </c>
      <c r="I49" s="10">
        <v>58968</v>
      </c>
      <c r="J49" s="5">
        <v>59105</v>
      </c>
      <c r="K49" s="5">
        <v>-137</v>
      </c>
      <c r="L49" s="10">
        <v>54003</v>
      </c>
      <c r="M49" s="5">
        <v>58667</v>
      </c>
      <c r="N49" s="5">
        <v>-4664</v>
      </c>
      <c r="O49" s="10">
        <f t="shared" si="0"/>
        <v>-4715</v>
      </c>
      <c r="P49" s="97">
        <f t="shared" si="1"/>
        <v>-2.6695882096490185E-2</v>
      </c>
      <c r="Q49" s="101" t="str">
        <f t="shared" si="3"/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111" t="str">
        <f>IF(AND(L49-I49&gt;=Summary!$C$110,N49-K49&gt;Summary!$C$110,N49&gt;0),"X"," ")</f>
        <v xml:space="preserve"> </v>
      </c>
      <c r="T49" s="99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">
      <c r="A50" s="42">
        <v>4760</v>
      </c>
      <c r="B50" s="77" t="s">
        <v>15</v>
      </c>
      <c r="C50" s="10">
        <v>209569</v>
      </c>
      <c r="D50" s="5">
        <v>293194</v>
      </c>
      <c r="E50" s="5">
        <v>-83625</v>
      </c>
      <c r="F50" s="10">
        <v>302065</v>
      </c>
      <c r="G50" s="5">
        <v>260209</v>
      </c>
      <c r="H50" s="5">
        <v>41856</v>
      </c>
      <c r="I50" s="10">
        <v>291293</v>
      </c>
      <c r="J50" s="5">
        <v>270188</v>
      </c>
      <c r="K50" s="5">
        <v>21105</v>
      </c>
      <c r="L50" s="10">
        <v>193565</v>
      </c>
      <c r="M50" s="5">
        <v>258838</v>
      </c>
      <c r="N50" s="5">
        <v>-65273</v>
      </c>
      <c r="O50" s="10">
        <f t="shared" si="0"/>
        <v>-20664</v>
      </c>
      <c r="P50" s="97">
        <f t="shared" si="1"/>
        <v>-2.5090093152920379E-2</v>
      </c>
      <c r="Q50" s="101" t="str">
        <f t="shared" si="3"/>
        <v xml:space="preserve"> 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111" t="str">
        <f>IF(AND(L50-I50&gt;=Summary!$C$110,N50-K50&gt;Summary!$C$110,N50&gt;0),"X"," ")</f>
        <v xml:space="preserve"> </v>
      </c>
      <c r="T50" s="99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">
      <c r="A51" s="42">
        <v>6084</v>
      </c>
      <c r="B51" s="77" t="s">
        <v>15</v>
      </c>
      <c r="C51" s="10">
        <v>0</v>
      </c>
      <c r="D51" s="5">
        <v>93</v>
      </c>
      <c r="E51" s="5">
        <v>-93</v>
      </c>
      <c r="F51" s="10">
        <v>0</v>
      </c>
      <c r="G51" s="5">
        <v>160</v>
      </c>
      <c r="H51" s="5">
        <v>-160</v>
      </c>
      <c r="I51" s="10">
        <v>0</v>
      </c>
      <c r="J51" s="5">
        <v>58</v>
      </c>
      <c r="K51" s="5">
        <v>-58</v>
      </c>
      <c r="L51" s="10">
        <v>0</v>
      </c>
      <c r="M51" s="5">
        <v>32</v>
      </c>
      <c r="N51" s="5">
        <v>-32</v>
      </c>
      <c r="O51" s="10">
        <f t="shared" si="0"/>
        <v>-311</v>
      </c>
      <c r="P51" s="97">
        <f t="shared" si="1"/>
        <v>-0.99679487179487181</v>
      </c>
      <c r="Q51" s="101" t="str">
        <f t="shared" si="3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111" t="str">
        <f>IF(AND(L51-I51&gt;=Summary!$C$110,N51-K51&gt;Summary!$C$110,N51&gt;0),"X"," ")</f>
        <v xml:space="preserve"> </v>
      </c>
      <c r="T51" s="99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">
      <c r="A52" s="42">
        <v>6728</v>
      </c>
      <c r="B52" s="77" t="s">
        <v>15</v>
      </c>
      <c r="C52" s="10">
        <v>12000</v>
      </c>
      <c r="D52" s="5">
        <v>19477</v>
      </c>
      <c r="E52" s="5">
        <v>-7477</v>
      </c>
      <c r="F52" s="10">
        <v>12000</v>
      </c>
      <c r="G52" s="5">
        <v>20107</v>
      </c>
      <c r="H52" s="5">
        <v>-8107</v>
      </c>
      <c r="I52" s="10">
        <v>15000</v>
      </c>
      <c r="J52" s="5">
        <v>19919</v>
      </c>
      <c r="K52" s="5">
        <v>-4919</v>
      </c>
      <c r="L52" s="10">
        <v>18000</v>
      </c>
      <c r="M52" s="5">
        <v>19933</v>
      </c>
      <c r="N52" s="5">
        <v>-1933</v>
      </c>
      <c r="O52" s="10">
        <f t="shared" si="0"/>
        <v>-20503</v>
      </c>
      <c r="P52" s="97">
        <f t="shared" si="1"/>
        <v>-0.3445650712557139</v>
      </c>
      <c r="Q52" s="101" t="str">
        <f t="shared" si="3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111" t="str">
        <f>IF(AND(L52-I52&gt;=Summary!$C$110,N52-K52&gt;Summary!$C$110,N52&gt;0),"X"," ")</f>
        <v xml:space="preserve"> </v>
      </c>
      <c r="T52" s="99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t="str">
        <f t="shared" si="4"/>
        <v xml:space="preserve"> </v>
      </c>
    </row>
    <row r="53" spans="1:22" x14ac:dyDescent="0.2">
      <c r="A53" s="42">
        <v>12296</v>
      </c>
      <c r="B53" s="77" t="s">
        <v>15</v>
      </c>
      <c r="C53" s="10">
        <v>26985</v>
      </c>
      <c r="D53" s="5">
        <v>27672</v>
      </c>
      <c r="E53" s="5">
        <v>-687</v>
      </c>
      <c r="F53" s="10">
        <v>26985</v>
      </c>
      <c r="G53" s="5">
        <v>28670</v>
      </c>
      <c r="H53" s="5">
        <v>-1685</v>
      </c>
      <c r="I53" s="10">
        <v>26985</v>
      </c>
      <c r="J53" s="5">
        <v>28985</v>
      </c>
      <c r="K53" s="5">
        <v>-2000</v>
      </c>
      <c r="L53" s="10">
        <v>27114</v>
      </c>
      <c r="M53" s="5">
        <v>28279</v>
      </c>
      <c r="N53" s="5">
        <v>-1165</v>
      </c>
      <c r="O53" s="10">
        <f t="shared" si="0"/>
        <v>-4372</v>
      </c>
      <c r="P53" s="97">
        <f t="shared" si="1"/>
        <v>-5.1237577348584286E-2</v>
      </c>
      <c r="Q53" s="101" t="str">
        <f t="shared" si="3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111" t="str">
        <f>IF(AND(L53-I53&gt;=Summary!$C$110,N53-K53&gt;Summary!$C$110,N53&gt;0),"X"," ")</f>
        <v xml:space="preserve"> </v>
      </c>
      <c r="T53" s="99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x14ac:dyDescent="0.2">
      <c r="A54" s="42">
        <v>21856</v>
      </c>
      <c r="B54" s="77" t="s">
        <v>15</v>
      </c>
      <c r="C54" s="10">
        <v>7740</v>
      </c>
      <c r="D54" s="5">
        <v>6349</v>
      </c>
      <c r="E54" s="5">
        <v>1391</v>
      </c>
      <c r="F54" s="10">
        <v>7740</v>
      </c>
      <c r="G54" s="5">
        <v>6280</v>
      </c>
      <c r="H54" s="5">
        <v>1460</v>
      </c>
      <c r="I54" s="10">
        <v>7740</v>
      </c>
      <c r="J54" s="5">
        <v>5076</v>
      </c>
      <c r="K54" s="5">
        <v>2664</v>
      </c>
      <c r="L54" s="10">
        <v>7340</v>
      </c>
      <c r="M54" s="5">
        <v>5052</v>
      </c>
      <c r="N54" s="5">
        <v>2288</v>
      </c>
      <c r="O54" s="10">
        <f t="shared" si="0"/>
        <v>5515</v>
      </c>
      <c r="P54" s="97">
        <f t="shared" si="1"/>
        <v>0.31147633570541061</v>
      </c>
      <c r="Q54" s="101" t="str">
        <f t="shared" si="3"/>
        <v xml:space="preserve"> </v>
      </c>
      <c r="R54" s="91" t="str">
        <f>IF($C$4="High Inventory",IF(AND(O54&gt;=Summary!$C$106,P54&gt;=Summary!$C$107),"X"," "),IF(AND(O54&lt;=-Summary!$C$106,P54&lt;=-Summary!$C$107),"X"," "))</f>
        <v>X</v>
      </c>
      <c r="S54" s="111" t="str">
        <f>IF(AND(L54-I54&gt;=Summary!$C$110,N54-K54&gt;Summary!$C$110,N54&gt;0),"X"," ")</f>
        <v xml:space="preserve"> </v>
      </c>
      <c r="T54" s="99" t="str">
        <f>IF($C$4="High Inventory",IF(AND($O54&gt;=Summary!$C$106,$P54&gt;=0%),"X"," "),IF(AND($O54&lt;=-Summary!$C$106,$P54&lt;=0%),"X"," "))</f>
        <v>X</v>
      </c>
      <c r="U54" s="21" t="str">
        <f>IF($C$4="High Inventory",IF(AND($O54&gt;=0,$P54&gt;=Summary!$C$107),"X"," "),IF(AND($O54&lt;=0,$P54&lt;=-Summary!$C$107),"X"," "))</f>
        <v>X</v>
      </c>
      <c r="V54" t="str">
        <f t="shared" si="4"/>
        <v xml:space="preserve"> </v>
      </c>
    </row>
    <row r="55" spans="1:22" hidden="1" x14ac:dyDescent="0.2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>K55+H55+E55</f>
        <v>0</v>
      </c>
      <c r="P55" s="97">
        <f>O55/(J55+G55+D55+1)</f>
        <v>0</v>
      </c>
      <c r="Q55" s="101" t="str">
        <f t="shared" si="3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111" t="str">
        <f>IF(AND(L55-I55&gt;=Summary!$C$110,N55-K55&gt;Summary!$C$110,N55&gt;0),"X"," ")</f>
        <v xml:space="preserve"> </v>
      </c>
      <c r="T55" s="99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">
      <c r="A56" s="42"/>
      <c r="B56" s="77"/>
      <c r="C56" s="10"/>
      <c r="D56" s="5"/>
      <c r="E56" s="6"/>
      <c r="F56" s="10"/>
      <c r="G56" s="5"/>
      <c r="H56" s="6"/>
      <c r="I56" s="10"/>
      <c r="J56" s="5"/>
      <c r="K56" s="6"/>
      <c r="L56" s="10"/>
      <c r="M56" s="5"/>
      <c r="N56" s="6"/>
      <c r="O56" s="10">
        <f>K56+H56+E56</f>
        <v>0</v>
      </c>
      <c r="P56" s="97">
        <f>O56/(J56+G56+D56+1)</f>
        <v>0</v>
      </c>
      <c r="Q56" s="101" t="str">
        <f t="shared" si="3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111" t="str">
        <f>IF(AND(L56-I56&gt;=Summary!$C$110,N56-K56&gt;Summary!$C$110,N56&gt;0),"X"," ")</f>
        <v xml:space="preserve"> </v>
      </c>
      <c r="T56" s="99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">
      <c r="A57" s="42"/>
      <c r="B57" s="77"/>
      <c r="C57" s="15">
        <v>36620</v>
      </c>
      <c r="D57" s="5"/>
      <c r="E57" s="5"/>
      <c r="F57" s="15">
        <v>36621</v>
      </c>
      <c r="G57" s="5"/>
      <c r="H57" s="5"/>
      <c r="I57" s="15">
        <v>36622</v>
      </c>
      <c r="J57" s="5"/>
      <c r="K57" s="5"/>
      <c r="L57" s="15">
        <v>36623</v>
      </c>
      <c r="M57" s="5"/>
      <c r="N57" s="5"/>
      <c r="O57" s="10">
        <f>K57+H57+E57</f>
        <v>0</v>
      </c>
      <c r="P57" s="97">
        <f>O57/(J57+G57+D57+1)</f>
        <v>0</v>
      </c>
      <c r="Q57" s="101" t="str">
        <f t="shared" si="3"/>
        <v xml:space="preserve"> </v>
      </c>
      <c r="R57" s="91" t="str">
        <f>IF($C$4="High Inventory",IF(AND(O57&gt;=Summary!$C$106,P57&gt;=Summary!$C$107),"X"," "),IF(AND(O57&lt;=-Summary!$C$106,P57&lt;=-Summary!$C$107),"X"," "))</f>
        <v xml:space="preserve"> </v>
      </c>
      <c r="S57" s="111" t="str">
        <f>IF(AND(L57-I57&gt;=Summary!$C$110,N57-K57&gt;Summary!$C$110,N57&gt;0),"X"," ")</f>
        <v xml:space="preserve"> </v>
      </c>
      <c r="T57" s="99" t="str">
        <f>IF($C$4="High Inventory",IF(AND($O57&gt;=Summary!$C$106,$P57&gt;=0%),"X"," "),IF(AND($O57&lt;=-Summary!$C$106,$P57&lt;=0%),"X"," "))</f>
        <v xml:space="preserve"> </v>
      </c>
      <c r="U57" s="21" t="str">
        <f>IF($C$4="High Inventory",IF(AND($O57&gt;=0,$P57&gt;=Summary!$C$107),"X"," "),IF(AND($O57&lt;=0,$P57&lt;=-Summary!$C$107),"X"," "))</f>
        <v xml:space="preserve"> </v>
      </c>
      <c r="V57" t="str">
        <f t="shared" si="4"/>
        <v xml:space="preserve"> </v>
      </c>
    </row>
    <row r="58" spans="1:22" hidden="1" x14ac:dyDescent="0.2">
      <c r="A58" s="42" t="s">
        <v>6</v>
      </c>
      <c r="B58" s="77" t="s">
        <v>7</v>
      </c>
      <c r="C58" s="10" t="s">
        <v>37</v>
      </c>
      <c r="D58" s="5" t="s">
        <v>40</v>
      </c>
      <c r="E58" s="5" t="s">
        <v>41</v>
      </c>
      <c r="F58" s="10" t="s">
        <v>37</v>
      </c>
      <c r="G58" s="5" t="s">
        <v>40</v>
      </c>
      <c r="H58" s="5" t="s">
        <v>41</v>
      </c>
      <c r="I58" s="10" t="s">
        <v>37</v>
      </c>
      <c r="J58" s="5" t="s">
        <v>40</v>
      </c>
      <c r="K58" s="5" t="s">
        <v>41</v>
      </c>
      <c r="L58" s="10" t="s">
        <v>37</v>
      </c>
      <c r="M58" s="5" t="s">
        <v>40</v>
      </c>
      <c r="N58" s="5" t="s">
        <v>41</v>
      </c>
      <c r="O58" s="10" t="e">
        <f>K58+H58+E58</f>
        <v>#VALUE!</v>
      </c>
      <c r="P58" s="97" t="e">
        <f>O58/(J58+G58+D58+1)</f>
        <v>#VALUE!</v>
      </c>
      <c r="Q58" s="101" t="str">
        <f t="shared" si="3"/>
        <v xml:space="preserve"> </v>
      </c>
      <c r="R58" s="91" t="e">
        <f>IF($C$4="High Inventory",IF(AND(O58&gt;=Summary!$C$106,P58&gt;=Summary!$C$107),"X"," "),IF(AND(O58&lt;=-Summary!$C$106,P58&lt;=-Summary!$C$107),"X"," "))</f>
        <v>#VALUE!</v>
      </c>
      <c r="S58" s="111" t="e">
        <f>IF(AND(L58-I58&gt;=Summary!$C$110,N58-K58&gt;Summary!$C$110,N58&gt;0),"X"," ")</f>
        <v>#VALUE!</v>
      </c>
      <c r="T58" s="99" t="e">
        <f>IF($C$4="High Inventory",IF(AND($O58&gt;=Summary!$C$106,$P58&gt;=0%),"X"," "),IF(AND($O58&lt;=-Summary!$C$106,$P58&lt;=0%),"X"," "))</f>
        <v>#VALUE!</v>
      </c>
      <c r="U58" s="21" t="e">
        <f>IF($C$4="High Inventory",IF(AND($O58&gt;=0,$P58&gt;=Summary!$C$107),"X"," "),IF(AND($O58&lt;=0,$P58&lt;=-Summary!$C$107),"X"," "))</f>
        <v>#VALUE!</v>
      </c>
      <c r="V58" t="e">
        <f t="shared" si="4"/>
        <v>#VALUE!</v>
      </c>
    </row>
    <row r="59" spans="1:22" x14ac:dyDescent="0.2">
      <c r="A59" s="42">
        <v>51</v>
      </c>
      <c r="B59" s="77" t="s">
        <v>17</v>
      </c>
      <c r="C59" s="10">
        <v>14251</v>
      </c>
      <c r="D59" s="5">
        <v>10824</v>
      </c>
      <c r="E59" s="5">
        <v>3427</v>
      </c>
      <c r="F59" s="10">
        <v>14251</v>
      </c>
      <c r="G59" s="5">
        <v>12192</v>
      </c>
      <c r="H59" s="5">
        <v>2059</v>
      </c>
      <c r="I59" s="10">
        <v>14251</v>
      </c>
      <c r="J59" s="5">
        <v>11153</v>
      </c>
      <c r="K59" s="5">
        <v>3098</v>
      </c>
      <c r="L59" s="10">
        <v>14251</v>
      </c>
      <c r="M59" s="5">
        <v>11150</v>
      </c>
      <c r="N59" s="5">
        <v>3101</v>
      </c>
      <c r="O59" s="10">
        <f>K59+H59+E59</f>
        <v>8584</v>
      </c>
      <c r="P59" s="97">
        <f>O59/(J59+G59+D59+1)</f>
        <v>0.25121451565700909</v>
      </c>
      <c r="Q59" s="101" t="str">
        <f t="shared" si="3"/>
        <v xml:space="preserve"> </v>
      </c>
      <c r="R59" s="91" t="str">
        <f>IF($C$4="High Inventory",IF(AND(O59&gt;=Summary!$C$106,P59&gt;=Summary!$C$107),"X"," "),IF(AND(O59&lt;=-Summary!$C$106,P59&lt;=-Summary!$C$107),"X"," "))</f>
        <v>X</v>
      </c>
      <c r="S59" s="111" t="str">
        <f>IF(AND(L59-I59&gt;=Summary!$C$110,N59-K59&gt;Summary!$C$110,N59&gt;0),"X"," ")</f>
        <v xml:space="preserve"> </v>
      </c>
      <c r="T59" s="99" t="str">
        <f>IF($C$4="High Inventory",IF(AND($O59&gt;=Summary!$C$106,$P59&gt;=0%),"X"," "),IF(AND($O59&lt;=-Summary!$C$106,$P59&lt;=0%),"X"," "))</f>
        <v>X</v>
      </c>
      <c r="U59" s="21" t="str">
        <f>IF($C$4="High Inventory",IF(AND($O59&gt;=0,$P59&gt;=Summary!$C$107),"X"," "),IF(AND($O59&lt;=0,$P59&lt;=-Summary!$C$107),"X"," "))</f>
        <v>X</v>
      </c>
      <c r="V59" t="str">
        <f t="shared" si="4"/>
        <v xml:space="preserve"> </v>
      </c>
    </row>
    <row r="60" spans="1:22" x14ac:dyDescent="0.2">
      <c r="A60" s="42">
        <v>117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ref="O60:O78" si="5">K60+H60+E60</f>
        <v>0</v>
      </c>
      <c r="P60" s="97">
        <f t="shared" ref="P60:P78" si="6">O60/(J60+G60+D60+1)</f>
        <v>0</v>
      </c>
      <c r="Q60" s="101" t="str">
        <f t="shared" si="3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111" t="str">
        <f>IF(AND(L60-I60&gt;=Summary!$C$110,N60-K60&gt;Summary!$C$110,N60&gt;0),"X"," ")</f>
        <v xml:space="preserve"> </v>
      </c>
      <c r="T60" s="99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">
      <c r="A61" s="42">
        <v>127</v>
      </c>
      <c r="B61" s="77" t="s">
        <v>17</v>
      </c>
      <c r="C61" s="10">
        <v>0</v>
      </c>
      <c r="D61" s="5">
        <v>6</v>
      </c>
      <c r="E61" s="5">
        <v>-6</v>
      </c>
      <c r="F61" s="10">
        <v>0</v>
      </c>
      <c r="G61" s="5">
        <v>6</v>
      </c>
      <c r="H61" s="5">
        <v>-6</v>
      </c>
      <c r="I61" s="10">
        <v>0</v>
      </c>
      <c r="J61" s="5">
        <v>6</v>
      </c>
      <c r="K61" s="5">
        <v>-6</v>
      </c>
      <c r="L61" s="10">
        <v>0</v>
      </c>
      <c r="M61" s="5">
        <v>5</v>
      </c>
      <c r="N61" s="5">
        <v>-5</v>
      </c>
      <c r="O61" s="10">
        <f t="shared" si="5"/>
        <v>-18</v>
      </c>
      <c r="P61" s="97">
        <f t="shared" si="6"/>
        <v>-0.94736842105263153</v>
      </c>
      <c r="Q61" s="101" t="str">
        <f t="shared" si="3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111" t="str">
        <f>IF(AND(L61-I61&gt;=Summary!$C$110,N61-K61&gt;Summary!$C$110,N61&gt;0),"X"," ")</f>
        <v xml:space="preserve"> </v>
      </c>
      <c r="T61" s="99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">
      <c r="A62" s="42">
        <v>128</v>
      </c>
      <c r="B62" s="77" t="s">
        <v>17</v>
      </c>
      <c r="C62" s="10">
        <v>0</v>
      </c>
      <c r="D62" s="5">
        <v>1</v>
      </c>
      <c r="E62" s="5">
        <v>-1</v>
      </c>
      <c r="F62" s="10">
        <v>0</v>
      </c>
      <c r="G62" s="5">
        <v>0</v>
      </c>
      <c r="H62" s="5">
        <v>0</v>
      </c>
      <c r="I62" s="10">
        <v>0</v>
      </c>
      <c r="J62" s="5">
        <v>1</v>
      </c>
      <c r="K62" s="5">
        <v>-1</v>
      </c>
      <c r="L62" s="10">
        <v>0</v>
      </c>
      <c r="M62" s="5">
        <v>0</v>
      </c>
      <c r="N62" s="5">
        <v>0</v>
      </c>
      <c r="O62" s="10">
        <f t="shared" si="5"/>
        <v>-2</v>
      </c>
      <c r="P62" s="97">
        <f t="shared" si="6"/>
        <v>-0.66666666666666663</v>
      </c>
      <c r="Q62" s="101" t="str">
        <f t="shared" si="3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111" t="str">
        <f>IF(AND(L62-I62&gt;=Summary!$C$110,N62-K62&gt;Summary!$C$110,N62&gt;0),"X"," ")</f>
        <v xml:space="preserve"> </v>
      </c>
      <c r="T62" s="99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">
      <c r="A63" s="42">
        <v>129</v>
      </c>
      <c r="B63" s="77" t="s">
        <v>17</v>
      </c>
      <c r="C63" s="10">
        <v>0</v>
      </c>
      <c r="D63" s="5">
        <v>662</v>
      </c>
      <c r="E63" s="5">
        <v>-662</v>
      </c>
      <c r="F63" s="10">
        <v>0</v>
      </c>
      <c r="G63" s="5">
        <v>673</v>
      </c>
      <c r="H63" s="5">
        <v>-673</v>
      </c>
      <c r="I63" s="10">
        <v>0</v>
      </c>
      <c r="J63" s="5">
        <v>449</v>
      </c>
      <c r="K63" s="5">
        <v>-449</v>
      </c>
      <c r="L63" s="10">
        <v>0</v>
      </c>
      <c r="M63" s="5">
        <v>23</v>
      </c>
      <c r="N63" s="5">
        <v>-23</v>
      </c>
      <c r="O63" s="10">
        <f t="shared" si="5"/>
        <v>-1784</v>
      </c>
      <c r="P63" s="97">
        <f t="shared" si="6"/>
        <v>-0.99943977591036415</v>
      </c>
      <c r="Q63" s="101" t="str">
        <f t="shared" si="3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111" t="str">
        <f>IF(AND(L63-I63&gt;=Summary!$C$110,N63-K63&gt;Summary!$C$110,N63&gt;0),"X"," ")</f>
        <v xml:space="preserve"> </v>
      </c>
      <c r="T63" s="99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">
      <c r="A64" s="42">
        <v>132</v>
      </c>
      <c r="B64" s="77" t="s">
        <v>17</v>
      </c>
      <c r="C64" s="10">
        <v>0</v>
      </c>
      <c r="D64" s="5">
        <v>724</v>
      </c>
      <c r="E64" s="5">
        <v>-724</v>
      </c>
      <c r="F64" s="10">
        <v>0</v>
      </c>
      <c r="G64" s="5">
        <v>798</v>
      </c>
      <c r="H64" s="5">
        <v>-798</v>
      </c>
      <c r="I64" s="10">
        <v>0</v>
      </c>
      <c r="J64" s="5">
        <v>799</v>
      </c>
      <c r="K64" s="5">
        <v>-799</v>
      </c>
      <c r="L64" s="10">
        <v>0</v>
      </c>
      <c r="M64" s="5">
        <v>531</v>
      </c>
      <c r="N64" s="5">
        <v>-531</v>
      </c>
      <c r="O64" s="10">
        <f t="shared" si="5"/>
        <v>-2321</v>
      </c>
      <c r="P64" s="97">
        <f t="shared" si="6"/>
        <v>-0.99956933677863913</v>
      </c>
      <c r="Q64" s="101" t="str">
        <f t="shared" si="3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111" t="str">
        <f>IF(AND(L64-I64&gt;=Summary!$C$110,N64-K64&gt;Summary!$C$110,N64&gt;0),"X"," ")</f>
        <v xml:space="preserve"> </v>
      </c>
      <c r="T64" s="99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">
      <c r="A65" s="42">
        <v>133</v>
      </c>
      <c r="B65" s="77" t="s">
        <v>17</v>
      </c>
      <c r="C65" s="10">
        <v>0</v>
      </c>
      <c r="D65" s="5">
        <v>0</v>
      </c>
      <c r="E65" s="5">
        <v>0</v>
      </c>
      <c r="F65" s="10">
        <v>0</v>
      </c>
      <c r="G65" s="5">
        <v>0</v>
      </c>
      <c r="H65" s="5">
        <v>0</v>
      </c>
      <c r="I65" s="10">
        <v>0</v>
      </c>
      <c r="J65" s="5">
        <v>0</v>
      </c>
      <c r="K65" s="5">
        <v>0</v>
      </c>
      <c r="L65" s="10">
        <v>0</v>
      </c>
      <c r="M65" s="5">
        <v>0</v>
      </c>
      <c r="N65" s="5">
        <v>0</v>
      </c>
      <c r="O65" s="10">
        <f t="shared" si="5"/>
        <v>0</v>
      </c>
      <c r="P65" s="97">
        <f t="shared" si="6"/>
        <v>0</v>
      </c>
      <c r="Q65" s="101" t="str">
        <f t="shared" si="3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111" t="str">
        <f>IF(AND(L65-I65&gt;=Summary!$C$110,N65-K65&gt;Summary!$C$110,N65&gt;0),"X"," ")</f>
        <v xml:space="preserve"> </v>
      </c>
      <c r="T65" s="99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">
      <c r="A66" s="42">
        <v>194</v>
      </c>
      <c r="B66" s="77" t="s">
        <v>17</v>
      </c>
      <c r="C66" s="10">
        <v>0</v>
      </c>
      <c r="D66" s="5">
        <v>0</v>
      </c>
      <c r="E66" s="5">
        <v>0</v>
      </c>
      <c r="F66" s="10">
        <v>0</v>
      </c>
      <c r="G66" s="5">
        <v>0</v>
      </c>
      <c r="H66" s="5">
        <v>0</v>
      </c>
      <c r="I66" s="10">
        <v>0</v>
      </c>
      <c r="J66" s="5">
        <v>0</v>
      </c>
      <c r="K66" s="5">
        <v>0</v>
      </c>
      <c r="L66" s="10">
        <v>0</v>
      </c>
      <c r="M66" s="5">
        <v>0</v>
      </c>
      <c r="N66" s="5">
        <v>0</v>
      </c>
      <c r="O66" s="10">
        <f t="shared" si="5"/>
        <v>0</v>
      </c>
      <c r="P66" s="97">
        <f t="shared" si="6"/>
        <v>0</v>
      </c>
      <c r="Q66" s="101" t="str">
        <f t="shared" si="3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111" t="str">
        <f>IF(AND(L66-I66&gt;=Summary!$C$110,N66-K66&gt;Summary!$C$110,N66&gt;0),"X"," ")</f>
        <v xml:space="preserve"> </v>
      </c>
      <c r="T66" s="99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4"/>
        <v xml:space="preserve"> </v>
      </c>
    </row>
    <row r="67" spans="1:22" x14ac:dyDescent="0.2">
      <c r="A67" s="42">
        <v>195</v>
      </c>
      <c r="B67" s="77" t="s">
        <v>17</v>
      </c>
      <c r="C67" s="10">
        <v>0</v>
      </c>
      <c r="D67" s="5">
        <v>0</v>
      </c>
      <c r="E67" s="5">
        <v>0</v>
      </c>
      <c r="F67" s="10">
        <v>0</v>
      </c>
      <c r="G67" s="5">
        <v>0</v>
      </c>
      <c r="H67" s="5">
        <v>0</v>
      </c>
      <c r="I67" s="10">
        <v>0</v>
      </c>
      <c r="J67" s="5">
        <v>0</v>
      </c>
      <c r="K67" s="5">
        <v>0</v>
      </c>
      <c r="L67" s="10">
        <v>0</v>
      </c>
      <c r="M67" s="5">
        <v>0</v>
      </c>
      <c r="N67" s="5">
        <v>0</v>
      </c>
      <c r="O67" s="10">
        <f t="shared" si="5"/>
        <v>0</v>
      </c>
      <c r="P67" s="97">
        <f t="shared" si="6"/>
        <v>0</v>
      </c>
      <c r="Q67" s="101" t="str">
        <f t="shared" si="3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111" t="str">
        <f>IF(AND(L67-I67&gt;=Summary!$C$110,N67-K67&gt;Summary!$C$110,N67&gt;0),"X"," ")</f>
        <v xml:space="preserve"> </v>
      </c>
      <c r="T67" s="99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">
      <c r="A68" s="42">
        <v>196</v>
      </c>
      <c r="B68" s="77" t="s">
        <v>17</v>
      </c>
      <c r="C68" s="10">
        <v>0</v>
      </c>
      <c r="D68" s="5">
        <v>0</v>
      </c>
      <c r="E68" s="5">
        <v>0</v>
      </c>
      <c r="F68" s="10">
        <v>0</v>
      </c>
      <c r="G68" s="5">
        <v>0</v>
      </c>
      <c r="H68" s="5">
        <v>0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5"/>
        <v>0</v>
      </c>
      <c r="P68" s="97">
        <f t="shared" si="6"/>
        <v>0</v>
      </c>
      <c r="Q68" s="101" t="str">
        <f t="shared" si="3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111" t="str">
        <f>IF(AND(L68-I68&gt;=Summary!$C$110,N68-K68&gt;Summary!$C$110,N68&gt;0),"X"," ")</f>
        <v xml:space="preserve"> </v>
      </c>
      <c r="T68" s="99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">
      <c r="A69" s="42">
        <v>197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0</v>
      </c>
      <c r="N69" s="5">
        <v>0</v>
      </c>
      <c r="O69" s="10">
        <f t="shared" si="5"/>
        <v>0</v>
      </c>
      <c r="P69" s="97">
        <f t="shared" si="6"/>
        <v>0</v>
      </c>
      <c r="Q69" s="101" t="str">
        <f t="shared" si="3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111" t="str">
        <f>IF(AND(L69-I69&gt;=Summary!$C$110,N69-K69&gt;Summary!$C$110,N69&gt;0),"X"," ")</f>
        <v xml:space="preserve"> </v>
      </c>
      <c r="T69" s="99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">
      <c r="A70" s="42">
        <v>282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7">
        <f>O70/(J70+G70+D70+1)</f>
        <v>0</v>
      </c>
      <c r="Q70" s="101" t="str">
        <f t="shared" si="3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111" t="str">
        <f>IF(AND(L70-I70&gt;=Summary!$C$110,N70-K70&gt;Summary!$C$110,N70&gt;0),"X"," ")</f>
        <v xml:space="preserve"> </v>
      </c>
      <c r="T70" s="99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">
      <c r="A71" s="42">
        <v>289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>K71+H71+E71</f>
        <v>0</v>
      </c>
      <c r="P71" s="97">
        <f>O71/(J71+G71+D71+1)</f>
        <v>0</v>
      </c>
      <c r="Q71" s="101" t="str">
        <f t="shared" si="3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111" t="str">
        <f>IF(AND(L71-I71&gt;=Summary!$C$110,N71-K71&gt;Summary!$C$110,N71&gt;0),"X"," ")</f>
        <v xml:space="preserve"> </v>
      </c>
      <c r="T71" s="99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">
      <c r="A72" s="42">
        <v>476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>K72+H72+E72</f>
        <v>0</v>
      </c>
      <c r="P72" s="97">
        <f>O72/(J72+G72+D72+1)</f>
        <v>0</v>
      </c>
      <c r="Q72" s="101" t="str">
        <f t="shared" si="3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111" t="str">
        <f>IF(AND(L72-I72&gt;=Summary!$C$110,N72-K72&gt;Summary!$C$110,N72&gt;0),"X"," ")</f>
        <v xml:space="preserve"> </v>
      </c>
      <c r="T72" s="99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">
      <c r="A73" s="42">
        <v>512</v>
      </c>
      <c r="B73" s="77" t="s">
        <v>17</v>
      </c>
      <c r="C73" s="10">
        <v>2300</v>
      </c>
      <c r="D73" s="5">
        <v>1837</v>
      </c>
      <c r="E73" s="5">
        <v>463</v>
      </c>
      <c r="F73" s="10">
        <v>2800</v>
      </c>
      <c r="G73" s="5">
        <v>1483</v>
      </c>
      <c r="H73" s="5">
        <v>1317</v>
      </c>
      <c r="I73" s="10">
        <v>2800</v>
      </c>
      <c r="J73" s="5">
        <v>766</v>
      </c>
      <c r="K73" s="5">
        <v>2034</v>
      </c>
      <c r="L73" s="10">
        <v>800</v>
      </c>
      <c r="M73" s="5">
        <v>792</v>
      </c>
      <c r="N73" s="5">
        <v>8</v>
      </c>
      <c r="O73" s="10">
        <f>K73+H73+E73</f>
        <v>3814</v>
      </c>
      <c r="P73" s="97">
        <f>O73/(J73+G73+D73+1)</f>
        <v>0.93320283826767803</v>
      </c>
      <c r="Q73" s="101" t="str">
        <f t="shared" si="3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111" t="str">
        <f>IF(AND(L73-I73&gt;=Summary!$C$110,N73-K73&gt;Summary!$C$110,N73&gt;0),"X"," ")</f>
        <v xml:space="preserve"> </v>
      </c>
      <c r="T73" s="99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>X</v>
      </c>
      <c r="V73" t="str">
        <f t="shared" si="4"/>
        <v xml:space="preserve"> </v>
      </c>
    </row>
    <row r="74" spans="1:22" x14ac:dyDescent="0.2">
      <c r="A74" s="42">
        <v>757</v>
      </c>
      <c r="B74" s="77" t="s">
        <v>17</v>
      </c>
      <c r="C74" s="10">
        <v>0</v>
      </c>
      <c r="D74" s="5">
        <v>556</v>
      </c>
      <c r="E74" s="5">
        <v>-556</v>
      </c>
      <c r="F74" s="10">
        <v>0</v>
      </c>
      <c r="G74" s="5">
        <v>517</v>
      </c>
      <c r="H74" s="5">
        <v>-517</v>
      </c>
      <c r="I74" s="10">
        <v>0</v>
      </c>
      <c r="J74" s="5">
        <v>495</v>
      </c>
      <c r="K74" s="5">
        <v>-495</v>
      </c>
      <c r="L74" s="10">
        <v>426</v>
      </c>
      <c r="M74" s="5">
        <v>502</v>
      </c>
      <c r="N74" s="5">
        <v>-76</v>
      </c>
      <c r="O74" s="10">
        <f t="shared" ref="O74:O97" si="7">K74+H74+E74</f>
        <v>-1568</v>
      </c>
      <c r="P74" s="97">
        <f t="shared" ref="P74:P97" si="8">O74/(J74+G74+D74+1)</f>
        <v>-0.99936265137029956</v>
      </c>
      <c r="Q74" s="101" t="str">
        <f t="shared" si="3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111" t="str">
        <f>IF(AND(L74-I74&gt;=Summary!$C$110,N74-K74&gt;Summary!$C$110,N74&gt;0),"X"," ")</f>
        <v xml:space="preserve"> </v>
      </c>
      <c r="T74" s="99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96" si="9">IF(S74 = "X",L74-I74," ")</f>
        <v xml:space="preserve"> </v>
      </c>
    </row>
    <row r="75" spans="1:22" x14ac:dyDescent="0.2">
      <c r="A75" s="42">
        <v>761</v>
      </c>
      <c r="B75" s="77" t="s">
        <v>17</v>
      </c>
      <c r="C75" s="10">
        <v>0</v>
      </c>
      <c r="D75" s="5">
        <v>8</v>
      </c>
      <c r="E75" s="5">
        <v>-8</v>
      </c>
      <c r="F75" s="10">
        <v>0</v>
      </c>
      <c r="G75" s="5">
        <v>8</v>
      </c>
      <c r="H75" s="5">
        <v>-8</v>
      </c>
      <c r="I75" s="10">
        <v>0</v>
      </c>
      <c r="J75" s="5">
        <v>8</v>
      </c>
      <c r="K75" s="5">
        <v>-8</v>
      </c>
      <c r="L75" s="10">
        <v>0</v>
      </c>
      <c r="M75" s="5">
        <v>8</v>
      </c>
      <c r="N75" s="5">
        <v>-8</v>
      </c>
      <c r="O75" s="10">
        <f>K75+H75+E75</f>
        <v>-24</v>
      </c>
      <c r="P75" s="97">
        <f>O75/(J75+G75+D75+1)</f>
        <v>-0.96</v>
      </c>
      <c r="Q75" s="101" t="str">
        <f t="shared" ref="Q75:Q99" si="10">" "</f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111" t="str">
        <f>IF(AND(L75-I75&gt;=Summary!$C$110,N75-K75&gt;Summary!$C$110,N75&gt;0),"X"," ")</f>
        <v xml:space="preserve"> </v>
      </c>
      <c r="T75" s="99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9"/>
        <v xml:space="preserve"> </v>
      </c>
    </row>
    <row r="76" spans="1:22" x14ac:dyDescent="0.2">
      <c r="A76" s="42">
        <v>764</v>
      </c>
      <c r="B76" s="77" t="s">
        <v>17</v>
      </c>
      <c r="C76" s="10">
        <v>196</v>
      </c>
      <c r="D76" s="5">
        <v>0</v>
      </c>
      <c r="E76" s="5">
        <v>196</v>
      </c>
      <c r="F76" s="10">
        <v>196</v>
      </c>
      <c r="G76" s="5">
        <v>0</v>
      </c>
      <c r="H76" s="5">
        <v>196</v>
      </c>
      <c r="I76" s="10">
        <v>196</v>
      </c>
      <c r="J76" s="5">
        <v>0</v>
      </c>
      <c r="K76" s="5">
        <v>196</v>
      </c>
      <c r="L76" s="10">
        <v>196</v>
      </c>
      <c r="M76" s="5">
        <v>117</v>
      </c>
      <c r="N76" s="5">
        <v>79</v>
      </c>
      <c r="O76" s="10">
        <f t="shared" si="7"/>
        <v>588</v>
      </c>
      <c r="P76" s="97">
        <f t="shared" si="8"/>
        <v>588</v>
      </c>
      <c r="Q76" s="101" t="str">
        <f t="shared" si="10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111" t="str">
        <f>IF(AND(L76-I76&gt;=Summary!$C$110,N76-K76&gt;Summary!$C$110,N76&gt;0),"X"," ")</f>
        <v xml:space="preserve"> </v>
      </c>
      <c r="T76" s="99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>X</v>
      </c>
      <c r="V76" t="str">
        <f t="shared" si="9"/>
        <v xml:space="preserve"> </v>
      </c>
    </row>
    <row r="77" spans="1:22" x14ac:dyDescent="0.2">
      <c r="A77" s="42">
        <v>765</v>
      </c>
      <c r="B77" s="77" t="s">
        <v>17</v>
      </c>
      <c r="C77" s="10">
        <v>7271</v>
      </c>
      <c r="D77" s="5">
        <v>0</v>
      </c>
      <c r="E77" s="5">
        <v>7271</v>
      </c>
      <c r="F77" s="10">
        <v>7271</v>
      </c>
      <c r="G77" s="5">
        <v>0</v>
      </c>
      <c r="H77" s="5">
        <v>7271</v>
      </c>
      <c r="I77" s="10">
        <v>7271</v>
      </c>
      <c r="J77" s="5">
        <v>1425</v>
      </c>
      <c r="K77" s="5">
        <v>5846</v>
      </c>
      <c r="L77" s="10">
        <v>7271</v>
      </c>
      <c r="M77" s="5">
        <v>5140</v>
      </c>
      <c r="N77" s="5">
        <v>2131</v>
      </c>
      <c r="O77" s="10">
        <f t="shared" si="7"/>
        <v>20388</v>
      </c>
      <c r="P77" s="97">
        <f t="shared" si="8"/>
        <v>14.297335203366059</v>
      </c>
      <c r="Q77" s="101" t="str">
        <f t="shared" si="10"/>
        <v xml:space="preserve"> </v>
      </c>
      <c r="R77" s="91" t="str">
        <f>IF($C$4="High Inventory",IF(AND(O77&gt;=Summary!$C$106,P77&gt;=Summary!$C$107),"X"," "),IF(AND(O77&lt;=-Summary!$C$106,P77&lt;=-Summary!$C$107),"X"," "))</f>
        <v>X</v>
      </c>
      <c r="S77" s="111" t="str">
        <f>IF(AND(L77-I77&gt;=Summary!$C$110,N77-K77&gt;Summary!$C$110,N77&gt;0),"X"," ")</f>
        <v xml:space="preserve"> </v>
      </c>
      <c r="T77" s="99" t="str">
        <f>IF($C$4="High Inventory",IF(AND($O77&gt;=Summary!$C$106,$P77&gt;=0%),"X"," "),IF(AND($O77&lt;=-Summary!$C$106,$P77&lt;=0%),"X"," "))</f>
        <v>X</v>
      </c>
      <c r="U77" s="21" t="str">
        <f>IF($C$4="High Inventory",IF(AND($O77&gt;=0,$P77&gt;=Summary!$C$107),"X"," "),IF(AND($O77&lt;=0,$P77&lt;=-Summary!$C$107),"X"," "))</f>
        <v>X</v>
      </c>
      <c r="V77" t="str">
        <f t="shared" si="9"/>
        <v xml:space="preserve"> </v>
      </c>
    </row>
    <row r="78" spans="1:22" x14ac:dyDescent="0.2">
      <c r="A78" s="42">
        <v>779</v>
      </c>
      <c r="B78" s="77" t="s">
        <v>17</v>
      </c>
      <c r="C78" s="10">
        <v>800</v>
      </c>
      <c r="D78" s="5">
        <v>1246</v>
      </c>
      <c r="E78" s="5">
        <v>-446</v>
      </c>
      <c r="F78" s="10">
        <v>800</v>
      </c>
      <c r="G78" s="5">
        <v>1367</v>
      </c>
      <c r="H78" s="5">
        <v>-567</v>
      </c>
      <c r="I78" s="10">
        <v>800</v>
      </c>
      <c r="J78" s="5">
        <v>1268</v>
      </c>
      <c r="K78" s="5">
        <v>-468</v>
      </c>
      <c r="L78" s="10">
        <v>800</v>
      </c>
      <c r="M78" s="5">
        <v>1199</v>
      </c>
      <c r="N78" s="5">
        <v>-399</v>
      </c>
      <c r="O78" s="10">
        <f t="shared" si="5"/>
        <v>-1481</v>
      </c>
      <c r="P78" s="97">
        <f t="shared" si="6"/>
        <v>-0.38150437918598662</v>
      </c>
      <c r="Q78" s="101" t="str">
        <f t="shared" si="10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111" t="str">
        <f>IF(AND(L78-I78&gt;=Summary!$C$110,N78-K78&gt;Summary!$C$110,N78&gt;0),"X"," ")</f>
        <v xml:space="preserve"> </v>
      </c>
      <c r="T78" s="99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9"/>
        <v xml:space="preserve"> </v>
      </c>
    </row>
    <row r="79" spans="1:22" hidden="1" x14ac:dyDescent="0.2">
      <c r="Q79" s="101" t="str">
        <f t="shared" si="10"/>
        <v xml:space="preserve"> </v>
      </c>
      <c r="R79" s="5"/>
      <c r="S79" s="111" t="str">
        <f>IF(AND(L79-I79&gt;=Summary!$C$110,N79-K79&gt;Summary!$C$110,N79&gt;0),"X"," ")</f>
        <v xml:space="preserve"> </v>
      </c>
      <c r="T79" s="99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9"/>
        <v xml:space="preserve"> </v>
      </c>
    </row>
    <row r="80" spans="1:22" hidden="1" x14ac:dyDescent="0.2">
      <c r="Q80" s="101" t="str">
        <f t="shared" si="10"/>
        <v xml:space="preserve"> </v>
      </c>
      <c r="R80" s="5"/>
      <c r="S80" s="111" t="str">
        <f>IF(AND(L80-I80&gt;=Summary!$C$110,N80-K80&gt;Summary!$C$110,N80&gt;0),"X"," ")</f>
        <v xml:space="preserve"> </v>
      </c>
      <c r="T80" s="99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9"/>
        <v xml:space="preserve"> </v>
      </c>
    </row>
    <row r="81" spans="1:22" hidden="1" x14ac:dyDescent="0.2">
      <c r="Q81" s="101" t="str">
        <f t="shared" si="10"/>
        <v xml:space="preserve"> </v>
      </c>
      <c r="R81" s="5"/>
      <c r="S81" s="111" t="str">
        <f>IF(AND(L81-I81&gt;=Summary!$C$110,N81-K81&gt;Summary!$C$110,N81&gt;0),"X"," ")</f>
        <v xml:space="preserve"> </v>
      </c>
      <c r="T81" s="99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9"/>
        <v xml:space="preserve"> </v>
      </c>
    </row>
    <row r="82" spans="1:22" x14ac:dyDescent="0.2">
      <c r="A82" s="42">
        <v>899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>K82+H82+E82</f>
        <v>0</v>
      </c>
      <c r="P82" s="97">
        <f>O82/(J82+G82+D82+1)</f>
        <v>0</v>
      </c>
      <c r="Q82" s="101" t="str">
        <f t="shared" si="10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111" t="str">
        <f>IF(AND(L82-I82&gt;=Summary!$C$110,N82-K82&gt;Summary!$C$110,N82&gt;0),"X"," ")</f>
        <v xml:space="preserve"> </v>
      </c>
      <c r="T82" s="99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9"/>
        <v xml:space="preserve"> </v>
      </c>
    </row>
    <row r="83" spans="1:22" x14ac:dyDescent="0.2">
      <c r="A83" s="42">
        <v>928</v>
      </c>
      <c r="B83" s="77" t="s">
        <v>17</v>
      </c>
      <c r="C83" s="10">
        <v>190</v>
      </c>
      <c r="D83" s="5">
        <v>197</v>
      </c>
      <c r="E83" s="5">
        <v>-7</v>
      </c>
      <c r="F83" s="10">
        <v>190</v>
      </c>
      <c r="G83" s="5">
        <v>198</v>
      </c>
      <c r="H83" s="5">
        <v>-8</v>
      </c>
      <c r="I83" s="10">
        <v>190</v>
      </c>
      <c r="J83" s="5">
        <v>198</v>
      </c>
      <c r="K83" s="5">
        <v>-8</v>
      </c>
      <c r="L83" s="10">
        <v>190</v>
      </c>
      <c r="M83" s="5">
        <v>198</v>
      </c>
      <c r="N83" s="5">
        <v>-8</v>
      </c>
      <c r="O83" s="10">
        <f>K83+H83+E83</f>
        <v>-23</v>
      </c>
      <c r="P83" s="97">
        <f>O83/(J83+G83+D83+1)</f>
        <v>-3.8720538720538718E-2</v>
      </c>
      <c r="Q83" s="101" t="str">
        <f t="shared" si="10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111" t="str">
        <f>IF(AND(L83-I83&gt;=Summary!$C$110,N83-K83&gt;Summary!$C$110,N83&gt;0),"X"," ")</f>
        <v xml:space="preserve"> </v>
      </c>
      <c r="T83" s="99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9"/>
        <v xml:space="preserve"> </v>
      </c>
    </row>
    <row r="84" spans="1:22" x14ac:dyDescent="0.2">
      <c r="A84" s="42">
        <v>997</v>
      </c>
      <c r="B84" s="77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7"/>
        <v>0</v>
      </c>
      <c r="P84" s="97">
        <f t="shared" si="8"/>
        <v>0</v>
      </c>
      <c r="Q84" s="101" t="str">
        <f t="shared" si="10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111" t="str">
        <f>IF(AND(L84-I84&gt;=Summary!$C$110,N84-K84&gt;Summary!$C$110,N84&gt;0),"X"," ")</f>
        <v xml:space="preserve"> </v>
      </c>
      <c r="T84" s="99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9"/>
        <v xml:space="preserve"> </v>
      </c>
    </row>
    <row r="85" spans="1:22" x14ac:dyDescent="0.2">
      <c r="A85" s="42">
        <v>5342</v>
      </c>
      <c r="B85" s="77" t="s">
        <v>17</v>
      </c>
      <c r="C85" s="10"/>
      <c r="D85" s="5"/>
      <c r="E85" s="5"/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>K85+H85+E85</f>
        <v>0</v>
      </c>
      <c r="P85" s="97">
        <f>O85/(J85+G85+D85+1)</f>
        <v>0</v>
      </c>
      <c r="Q85" s="101" t="str">
        <f t="shared" si="10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111" t="str">
        <f>IF(AND(L85-I85&gt;=Summary!$C$110,N85-K85&gt;Summary!$C$110,N85&gt;0),"X"," ")</f>
        <v xml:space="preserve"> </v>
      </c>
      <c r="T85" s="99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9"/>
        <v xml:space="preserve"> </v>
      </c>
    </row>
    <row r="86" spans="1:22" x14ac:dyDescent="0.2">
      <c r="A86" s="42">
        <v>5379</v>
      </c>
      <c r="B86" s="77" t="s">
        <v>17</v>
      </c>
      <c r="C86" s="10">
        <v>0</v>
      </c>
      <c r="D86" s="5">
        <v>0</v>
      </c>
      <c r="E86" s="5">
        <v>0</v>
      </c>
      <c r="F86" s="10">
        <v>0</v>
      </c>
      <c r="G86" s="5">
        <v>0</v>
      </c>
      <c r="H86" s="5">
        <v>0</v>
      </c>
      <c r="I86" s="10">
        <v>0</v>
      </c>
      <c r="J86" s="5">
        <v>0</v>
      </c>
      <c r="K86" s="5">
        <v>0</v>
      </c>
      <c r="L86" s="10">
        <v>0</v>
      </c>
      <c r="M86" s="5">
        <v>0</v>
      </c>
      <c r="N86" s="5">
        <v>0</v>
      </c>
      <c r="O86" s="10">
        <f>K86+H86+E86</f>
        <v>0</v>
      </c>
      <c r="P86" s="97">
        <f>O86/(J86+G86+D86+1)</f>
        <v>0</v>
      </c>
      <c r="Q86" s="101" t="str">
        <f t="shared" si="10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111" t="str">
        <f>IF(AND(L86-I86&gt;=Summary!$C$110,N86-K86&gt;Summary!$C$110,N86&gt;0),"X"," ")</f>
        <v xml:space="preserve"> </v>
      </c>
      <c r="T86" s="99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 t="str">
        <f t="shared" si="9"/>
        <v xml:space="preserve"> </v>
      </c>
    </row>
    <row r="87" spans="1:22" x14ac:dyDescent="0.2">
      <c r="A87" s="42">
        <v>7088</v>
      </c>
      <c r="B87" s="77" t="s">
        <v>17</v>
      </c>
      <c r="C87" s="10">
        <v>0</v>
      </c>
      <c r="D87" s="5">
        <v>37</v>
      </c>
      <c r="E87" s="5">
        <v>-37</v>
      </c>
      <c r="F87" s="10">
        <v>0</v>
      </c>
      <c r="G87" s="5">
        <v>44</v>
      </c>
      <c r="H87" s="5">
        <v>-44</v>
      </c>
      <c r="I87" s="10">
        <v>0</v>
      </c>
      <c r="J87" s="5">
        <v>54</v>
      </c>
      <c r="K87" s="5">
        <v>-54</v>
      </c>
      <c r="L87" s="10">
        <v>0</v>
      </c>
      <c r="M87" s="5">
        <v>60</v>
      </c>
      <c r="N87" s="5">
        <v>-60</v>
      </c>
      <c r="O87" s="10">
        <f t="shared" si="7"/>
        <v>-135</v>
      </c>
      <c r="P87" s="97">
        <f t="shared" si="8"/>
        <v>-0.99264705882352944</v>
      </c>
      <c r="Q87" s="101" t="str">
        <f t="shared" si="10"/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111" t="str">
        <f>IF(AND(L87-I87&gt;=Summary!$C$110,N87-K87&gt;Summary!$C$110,N87&gt;0),"X"," ")</f>
        <v xml:space="preserve"> </v>
      </c>
      <c r="T87" s="99" t="str">
        <f>IF($C$4="High Inventory",IF(AND($O87&gt;=Summary!$C$106,$P87&gt;=0%),"X"," "),IF(AND($O87&lt;=-Summary!$C$106,$P87&lt;=0%),"X"," "))</f>
        <v xml:space="preserve"> </v>
      </c>
      <c r="U87" s="21" t="str">
        <f>IF($C$4="High Inventory",IF(AND($O87&gt;=0,$P87&gt;=Summary!$C$107),"X"," "),IF(AND($O87&lt;=0,$P87&lt;=-Summary!$C$107),"X"," "))</f>
        <v xml:space="preserve"> </v>
      </c>
      <c r="V87" t="str">
        <f t="shared" si="9"/>
        <v xml:space="preserve"> </v>
      </c>
    </row>
    <row r="88" spans="1:22" x14ac:dyDescent="0.2">
      <c r="A88" s="42">
        <v>7602</v>
      </c>
      <c r="B88" s="77" t="s">
        <v>17</v>
      </c>
      <c r="C88" s="10">
        <v>30697</v>
      </c>
      <c r="D88" s="5">
        <v>35199</v>
      </c>
      <c r="E88" s="5">
        <v>-4502</v>
      </c>
      <c r="F88" s="10">
        <v>33923</v>
      </c>
      <c r="G88" s="5">
        <v>35612</v>
      </c>
      <c r="H88" s="5">
        <v>-1689</v>
      </c>
      <c r="I88" s="10">
        <v>28084</v>
      </c>
      <c r="J88" s="5">
        <v>36727</v>
      </c>
      <c r="K88" s="5">
        <v>-8643</v>
      </c>
      <c r="L88" s="10">
        <v>28189</v>
      </c>
      <c r="M88" s="5">
        <v>35147</v>
      </c>
      <c r="N88" s="5">
        <v>-6958</v>
      </c>
      <c r="O88" s="10">
        <f t="shared" si="7"/>
        <v>-14834</v>
      </c>
      <c r="P88" s="97">
        <f t="shared" si="8"/>
        <v>-0.13794065408828424</v>
      </c>
      <c r="Q88" s="101" t="str">
        <f t="shared" si="10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111" t="str">
        <f>IF(AND(L88-I88&gt;=Summary!$C$110,N88-K88&gt;Summary!$C$110,N88&gt;0),"X"," ")</f>
        <v xml:space="preserve"> </v>
      </c>
      <c r="T88" s="99" t="str">
        <f>IF($C$4="High Inventory",IF(AND($O88&gt;=Summary!$C$106,$P88&gt;=0%),"X"," "),IF(AND($O88&lt;=-Summary!$C$106,$P88&lt;=0%),"X"," "))</f>
        <v xml:space="preserve"> </v>
      </c>
      <c r="U88" s="21" t="str">
        <f>IF($C$4="High Inventory",IF(AND($O88&gt;=0,$P88&gt;=Summary!$C$107),"X"," "),IF(AND($O88&lt;=0,$P88&lt;=-Summary!$C$107),"X"," "))</f>
        <v xml:space="preserve"> </v>
      </c>
      <c r="V88" t="str">
        <f t="shared" si="9"/>
        <v xml:space="preserve"> </v>
      </c>
    </row>
    <row r="89" spans="1:22" x14ac:dyDescent="0.2">
      <c r="A89" s="42">
        <v>7604</v>
      </c>
      <c r="B89" s="77" t="s">
        <v>17</v>
      </c>
      <c r="C89" s="10">
        <v>74676</v>
      </c>
      <c r="D89" s="5">
        <v>59122</v>
      </c>
      <c r="E89" s="5">
        <v>15554</v>
      </c>
      <c r="F89" s="10">
        <v>72955</v>
      </c>
      <c r="G89" s="5">
        <v>56640</v>
      </c>
      <c r="H89" s="5">
        <v>16315</v>
      </c>
      <c r="I89" s="10">
        <v>69542</v>
      </c>
      <c r="J89" s="5">
        <v>57847</v>
      </c>
      <c r="K89" s="5">
        <v>11695</v>
      </c>
      <c r="L89" s="10">
        <v>70475</v>
      </c>
      <c r="M89" s="5">
        <v>65784</v>
      </c>
      <c r="N89" s="5">
        <v>4691</v>
      </c>
      <c r="O89" s="10">
        <f t="shared" si="7"/>
        <v>43564</v>
      </c>
      <c r="P89" s="97">
        <f t="shared" si="8"/>
        <v>0.2509302459535741</v>
      </c>
      <c r="Q89" s="101" t="str">
        <f t="shared" si="10"/>
        <v xml:space="preserve"> </v>
      </c>
      <c r="R89" s="91" t="str">
        <f>IF($C$4="High Inventory",IF(AND(O89&gt;=Summary!$C$106,P89&gt;=Summary!$C$107),"X"," "),IF(AND(O89&lt;=-Summary!$C$106,P89&lt;=-Summary!$C$107),"X"," "))</f>
        <v>X</v>
      </c>
      <c r="S89" s="111" t="str">
        <f>IF(AND(L89-I89&gt;=Summary!$C$110,N89-K89&gt;Summary!$C$110,N89&gt;0),"X"," ")</f>
        <v xml:space="preserve"> </v>
      </c>
      <c r="T89" s="99" t="str">
        <f>IF($C$4="High Inventory",IF(AND($O89&gt;=Summary!$C$106,$P89&gt;=0%),"X"," "),IF(AND($O89&lt;=-Summary!$C$106,$P89&lt;=0%),"X"," "))</f>
        <v>X</v>
      </c>
      <c r="U89" s="21" t="str">
        <f>IF($C$4="High Inventory",IF(AND($O89&gt;=0,$P89&gt;=Summary!$C$107),"X"," "),IF(AND($O89&lt;=0,$P89&lt;=-Summary!$C$107),"X"," "))</f>
        <v>X</v>
      </c>
      <c r="V89" t="str">
        <f t="shared" si="9"/>
        <v xml:space="preserve"> </v>
      </c>
    </row>
    <row r="90" spans="1:22" x14ac:dyDescent="0.2">
      <c r="A90" s="42">
        <v>8576</v>
      </c>
      <c r="B90" s="77" t="s">
        <v>17</v>
      </c>
      <c r="C90" s="10">
        <v>0</v>
      </c>
      <c r="D90" s="5">
        <v>0</v>
      </c>
      <c r="E90" s="5">
        <v>0</v>
      </c>
      <c r="F90" s="10">
        <v>0</v>
      </c>
      <c r="G90" s="5">
        <v>0</v>
      </c>
      <c r="H90" s="5">
        <v>0</v>
      </c>
      <c r="I90" s="10">
        <v>0</v>
      </c>
      <c r="J90" s="5">
        <v>0</v>
      </c>
      <c r="K90" s="5">
        <v>0</v>
      </c>
      <c r="L90" s="10">
        <v>0</v>
      </c>
      <c r="M90" s="5">
        <v>0</v>
      </c>
      <c r="N90" s="5">
        <v>0</v>
      </c>
      <c r="O90" s="10">
        <f t="shared" si="7"/>
        <v>0</v>
      </c>
      <c r="P90" s="97">
        <f t="shared" si="8"/>
        <v>0</v>
      </c>
      <c r="Q90" s="101" t="str">
        <f t="shared" si="10"/>
        <v xml:space="preserve"> </v>
      </c>
      <c r="R90" s="91" t="str">
        <f>IF($C$4="High Inventory",IF(AND(O90&gt;=Summary!$C$106,P90&gt;=Summary!$C$107),"X"," "),IF(AND(O90&lt;=-Summary!$C$106,P90&lt;=-Summary!$C$107),"X"," "))</f>
        <v xml:space="preserve"> </v>
      </c>
      <c r="S90" s="111" t="str">
        <f>IF(AND(L90-I90&gt;=Summary!$C$110,N90-K90&gt;Summary!$C$110,N90&gt;0),"X"," ")</f>
        <v xml:space="preserve"> </v>
      </c>
      <c r="T90" s="99" t="str">
        <f>IF($C$4="High Inventory",IF(AND($O90&gt;=Summary!$C$106,$P90&gt;=0%),"X"," "),IF(AND($O90&lt;=-Summary!$C$106,$P90&lt;=0%),"X"," "))</f>
        <v xml:space="preserve"> </v>
      </c>
      <c r="U90" s="21" t="str">
        <f>IF($C$4="High Inventory",IF(AND($O90&gt;=0,$P90&gt;=Summary!$C$107),"X"," "),IF(AND($O90&lt;=0,$P90&lt;=-Summary!$C$107),"X"," "))</f>
        <v xml:space="preserve"> </v>
      </c>
      <c r="V90" t="str">
        <f t="shared" si="9"/>
        <v xml:space="preserve"> </v>
      </c>
    </row>
    <row r="91" spans="1:22" x14ac:dyDescent="0.2">
      <c r="A91" s="42">
        <v>8577</v>
      </c>
      <c r="B91" s="77" t="s">
        <v>17</v>
      </c>
      <c r="C91" s="10">
        <v>0</v>
      </c>
      <c r="D91" s="5">
        <v>0</v>
      </c>
      <c r="E91" s="5">
        <v>0</v>
      </c>
      <c r="F91" s="10">
        <v>0</v>
      </c>
      <c r="G91" s="5">
        <v>0</v>
      </c>
      <c r="H91" s="5">
        <v>0</v>
      </c>
      <c r="I91" s="10">
        <v>0</v>
      </c>
      <c r="J91" s="5">
        <v>0</v>
      </c>
      <c r="K91" s="5">
        <v>0</v>
      </c>
      <c r="L91" s="10">
        <v>0</v>
      </c>
      <c r="M91" s="5">
        <v>0</v>
      </c>
      <c r="N91" s="5">
        <v>0</v>
      </c>
      <c r="O91" s="10">
        <f t="shared" si="7"/>
        <v>0</v>
      </c>
      <c r="P91" s="97">
        <f t="shared" si="8"/>
        <v>0</v>
      </c>
      <c r="Q91" s="101" t="str">
        <f t="shared" si="10"/>
        <v xml:space="preserve"> </v>
      </c>
      <c r="R91" s="91" t="str">
        <f>IF($C$4="High Inventory",IF(AND(O91&gt;=Summary!$C$106,P91&gt;=Summary!$C$107),"X"," "),IF(AND(O91&lt;=-Summary!$C$106,P91&lt;=-Summary!$C$107),"X"," "))</f>
        <v xml:space="preserve"> </v>
      </c>
      <c r="S91" s="111" t="str">
        <f>IF(AND(L91-I91&gt;=Summary!$C$110,N91-K91&gt;Summary!$C$110,N91&gt;0),"X"," ")</f>
        <v xml:space="preserve"> </v>
      </c>
      <c r="T91" s="99" t="str">
        <f>IF($C$4="High Inventory",IF(AND($O91&gt;=Summary!$C$106,$P91&gt;=0%),"X"," "),IF(AND($O91&lt;=-Summary!$C$106,$P91&lt;=0%),"X"," "))</f>
        <v xml:space="preserve"> </v>
      </c>
      <c r="U91" s="21" t="str">
        <f>IF($C$4="High Inventory",IF(AND($O91&gt;=0,$P91&gt;=Summary!$C$107),"X"," "),IF(AND($O91&lt;=0,$P91&lt;=-Summary!$C$107),"X"," "))</f>
        <v xml:space="preserve"> </v>
      </c>
      <c r="V91" t="str">
        <f t="shared" si="9"/>
        <v xml:space="preserve"> </v>
      </c>
    </row>
    <row r="92" spans="1:22" x14ac:dyDescent="0.2">
      <c r="A92" s="42">
        <v>8578</v>
      </c>
      <c r="B92" s="77" t="s">
        <v>17</v>
      </c>
      <c r="C92" s="10">
        <v>0</v>
      </c>
      <c r="D92" s="5">
        <v>0</v>
      </c>
      <c r="E92" s="5">
        <v>0</v>
      </c>
      <c r="F92" s="10">
        <v>0</v>
      </c>
      <c r="G92" s="5">
        <v>0</v>
      </c>
      <c r="H92" s="5">
        <v>0</v>
      </c>
      <c r="I92" s="10">
        <v>0</v>
      </c>
      <c r="J92" s="5">
        <v>0</v>
      </c>
      <c r="K92" s="5">
        <v>0</v>
      </c>
      <c r="L92" s="10">
        <v>0</v>
      </c>
      <c r="M92" s="5">
        <v>0</v>
      </c>
      <c r="N92" s="5">
        <v>0</v>
      </c>
      <c r="O92" s="10">
        <f t="shared" si="7"/>
        <v>0</v>
      </c>
      <c r="P92" s="97">
        <f t="shared" si="8"/>
        <v>0</v>
      </c>
      <c r="Q92" s="101" t="str">
        <f t="shared" si="10"/>
        <v xml:space="preserve"> </v>
      </c>
      <c r="R92" s="91" t="str">
        <f>IF($C$4="High Inventory",IF(AND(O92&gt;=Summary!$C$106,P92&gt;=Summary!$C$107),"X"," "),IF(AND(O92&lt;=-Summary!$C$106,P92&lt;=-Summary!$C$107),"X"," "))</f>
        <v xml:space="preserve"> </v>
      </c>
      <c r="S92" s="111" t="str">
        <f>IF(AND(L92-I92&gt;=Summary!$C$110,N92-K92&gt;Summary!$C$110,N92&gt;0),"X"," ")</f>
        <v xml:space="preserve"> </v>
      </c>
      <c r="T92" s="99" t="str">
        <f>IF($C$4="High Inventory",IF(AND($O92&gt;=Summary!$C$106,$P92&gt;=0%),"X"," "),IF(AND($O92&lt;=-Summary!$C$106,$P92&lt;=0%),"X"," "))</f>
        <v xml:space="preserve"> </v>
      </c>
      <c r="U92" s="21" t="str">
        <f>IF($C$4="High Inventory",IF(AND($O92&gt;=0,$P92&gt;=Summary!$C$107),"X"," "),IF(AND($O92&lt;=0,$P92&lt;=-Summary!$C$107),"X"," "))</f>
        <v xml:space="preserve"> </v>
      </c>
      <c r="V92" t="str">
        <f t="shared" si="9"/>
        <v xml:space="preserve"> </v>
      </c>
    </row>
    <row r="93" spans="1:22" x14ac:dyDescent="0.2">
      <c r="A93" s="42">
        <v>8579</v>
      </c>
      <c r="B93" s="77" t="s">
        <v>17</v>
      </c>
      <c r="C93" s="10">
        <v>0</v>
      </c>
      <c r="D93" s="5">
        <v>0</v>
      </c>
      <c r="E93" s="5">
        <v>0</v>
      </c>
      <c r="F93" s="10">
        <v>0</v>
      </c>
      <c r="G93" s="5">
        <v>0</v>
      </c>
      <c r="H93" s="5">
        <v>0</v>
      </c>
      <c r="I93" s="10">
        <v>0</v>
      </c>
      <c r="J93" s="5">
        <v>0</v>
      </c>
      <c r="K93" s="5">
        <v>0</v>
      </c>
      <c r="L93" s="10">
        <v>0</v>
      </c>
      <c r="M93" s="5">
        <v>0</v>
      </c>
      <c r="N93" s="5">
        <v>0</v>
      </c>
      <c r="O93" s="10">
        <f t="shared" si="7"/>
        <v>0</v>
      </c>
      <c r="P93" s="97">
        <f t="shared" si="8"/>
        <v>0</v>
      </c>
      <c r="Q93" s="101" t="str">
        <f t="shared" si="10"/>
        <v xml:space="preserve"> </v>
      </c>
      <c r="R93" s="91" t="str">
        <f>IF($C$4="High Inventory",IF(AND(O93&gt;=Summary!$C$106,P93&gt;=Summary!$C$107),"X"," "),IF(AND(O93&lt;=-Summary!$C$106,P93&lt;=-Summary!$C$107),"X"," "))</f>
        <v xml:space="preserve"> </v>
      </c>
      <c r="S93" s="111" t="str">
        <f>IF(AND(L93-I93&gt;=Summary!$C$110,N93-K93&gt;Summary!$C$110,N93&gt;0),"X"," ")</f>
        <v xml:space="preserve"> </v>
      </c>
      <c r="T93" s="99" t="str">
        <f>IF($C$4="High Inventory",IF(AND($O93&gt;=Summary!$C$106,$P93&gt;=0%),"X"," "),IF(AND($O93&lt;=-Summary!$C$106,$P93&lt;=0%),"X"," "))</f>
        <v xml:space="preserve"> </v>
      </c>
      <c r="U93" s="21" t="str">
        <f>IF($C$4="High Inventory",IF(AND($O93&gt;=0,$P93&gt;=Summary!$C$107),"X"," "),IF(AND($O93&lt;=0,$P93&lt;=-Summary!$C$107),"X"," "))</f>
        <v xml:space="preserve"> </v>
      </c>
      <c r="V93" t="str">
        <f t="shared" si="9"/>
        <v xml:space="preserve"> </v>
      </c>
    </row>
    <row r="94" spans="1:22" x14ac:dyDescent="0.2">
      <c r="A94" s="42">
        <v>8580</v>
      </c>
      <c r="B94" s="77" t="s">
        <v>17</v>
      </c>
      <c r="C94" s="10">
        <v>0</v>
      </c>
      <c r="D94" s="5">
        <v>0</v>
      </c>
      <c r="E94" s="5">
        <v>0</v>
      </c>
      <c r="F94" s="10">
        <v>0</v>
      </c>
      <c r="G94" s="5">
        <v>0</v>
      </c>
      <c r="H94" s="5">
        <v>0</v>
      </c>
      <c r="I94" s="10">
        <v>0</v>
      </c>
      <c r="J94" s="5">
        <v>0</v>
      </c>
      <c r="K94" s="5">
        <v>0</v>
      </c>
      <c r="L94" s="10">
        <v>0</v>
      </c>
      <c r="M94" s="5">
        <v>0</v>
      </c>
      <c r="N94" s="5">
        <v>0</v>
      </c>
      <c r="O94" s="10">
        <f t="shared" si="7"/>
        <v>0</v>
      </c>
      <c r="P94" s="97">
        <f t="shared" si="8"/>
        <v>0</v>
      </c>
      <c r="Q94" s="101" t="str">
        <f t="shared" si="10"/>
        <v xml:space="preserve"> </v>
      </c>
      <c r="R94" s="91" t="str">
        <f>IF($C$4="High Inventory",IF(AND(O94&gt;=Summary!$C$106,P94&gt;=Summary!$C$107),"X"," "),IF(AND(O94&lt;=-Summary!$C$106,P94&lt;=-Summary!$C$107),"X"," "))</f>
        <v xml:space="preserve"> </v>
      </c>
      <c r="S94" s="111" t="str">
        <f>IF(AND(L94-I94&gt;=Summary!$C$110,N94-K94&gt;Summary!$C$110,N94&gt;0),"X"," ")</f>
        <v xml:space="preserve"> </v>
      </c>
      <c r="T94" s="99" t="str">
        <f>IF($C$4="High Inventory",IF(AND($O94&gt;=Summary!$C$106,$P94&gt;=0%),"X"," "),IF(AND($O94&lt;=-Summary!$C$106,$P94&lt;=0%),"X"," "))</f>
        <v xml:space="preserve"> </v>
      </c>
      <c r="U94" s="21" t="str">
        <f>IF($C$4="High Inventory",IF(AND($O94&gt;=0,$P94&gt;=Summary!$C$107),"X"," "),IF(AND($O94&lt;=0,$P94&lt;=-Summary!$C$107),"X"," "))</f>
        <v xml:space="preserve"> </v>
      </c>
      <c r="V94" t="str">
        <f t="shared" si="9"/>
        <v xml:space="preserve"> </v>
      </c>
    </row>
    <row r="95" spans="1:22" x14ac:dyDescent="0.2">
      <c r="A95" s="42">
        <v>13636</v>
      </c>
      <c r="B95" s="77" t="s">
        <v>17</v>
      </c>
      <c r="C95" s="10">
        <v>0</v>
      </c>
      <c r="D95" s="5">
        <v>107</v>
      </c>
      <c r="E95" s="5">
        <v>-107</v>
      </c>
      <c r="F95" s="10">
        <v>0</v>
      </c>
      <c r="G95" s="5">
        <v>55</v>
      </c>
      <c r="H95" s="5">
        <v>-55</v>
      </c>
      <c r="I95" s="10">
        <v>0</v>
      </c>
      <c r="J95" s="5">
        <v>128</v>
      </c>
      <c r="K95" s="5">
        <v>-128</v>
      </c>
      <c r="L95" s="10">
        <v>0</v>
      </c>
      <c r="M95" s="5">
        <v>84</v>
      </c>
      <c r="N95" s="5">
        <v>-84</v>
      </c>
      <c r="O95" s="10">
        <f>K95+H95+E95</f>
        <v>-290</v>
      </c>
      <c r="P95" s="97">
        <f>O95/(J95+G95+D95+1)</f>
        <v>-0.99656357388316152</v>
      </c>
      <c r="Q95" s="101" t="str">
        <f t="shared" si="10"/>
        <v xml:space="preserve"> </v>
      </c>
      <c r="R95" s="91" t="str">
        <f>IF($C$4="High Inventory",IF(AND(O95&gt;=Summary!$C$106,P95&gt;=Summary!$C$107),"X"," "),IF(AND(O95&lt;=-Summary!$C$106,P95&lt;=-Summary!$C$107),"X"," "))</f>
        <v xml:space="preserve"> </v>
      </c>
      <c r="S95" s="111" t="str">
        <f>IF(AND(L95-I95&gt;=Summary!$C$110,N95-K95&gt;Summary!$C$110,N95&gt;0),"X"," ")</f>
        <v xml:space="preserve"> </v>
      </c>
      <c r="T95" s="99" t="str">
        <f>IF($C$4="High Inventory",IF(AND($O95&gt;=Summary!$C$106,$P95&gt;=0%),"X"," "),IF(AND($O95&lt;=-Summary!$C$106,$P95&lt;=0%),"X"," "))</f>
        <v xml:space="preserve"> </v>
      </c>
      <c r="U95" s="21" t="str">
        <f>IF($C$4="High Inventory",IF(AND($O95&gt;=0,$P95&gt;=Summary!$C$107),"X"," "),IF(AND($O95&lt;=0,$P95&lt;=-Summary!$C$107),"X"," "))</f>
        <v xml:space="preserve"> </v>
      </c>
      <c r="V95" t="str">
        <f t="shared" si="9"/>
        <v xml:space="preserve"> </v>
      </c>
    </row>
    <row r="96" spans="1:22" x14ac:dyDescent="0.2">
      <c r="A96" s="42">
        <v>18287</v>
      </c>
      <c r="B96" s="77" t="s">
        <v>17</v>
      </c>
      <c r="C96" s="10">
        <v>0</v>
      </c>
      <c r="D96" s="5">
        <v>0</v>
      </c>
      <c r="E96" s="5">
        <v>0</v>
      </c>
      <c r="F96" s="10">
        <v>0</v>
      </c>
      <c r="G96" s="5">
        <v>0</v>
      </c>
      <c r="H96" s="5">
        <v>0</v>
      </c>
      <c r="I96" s="10">
        <v>0</v>
      </c>
      <c r="J96" s="5">
        <v>0</v>
      </c>
      <c r="K96" s="5">
        <v>0</v>
      </c>
      <c r="L96" s="10">
        <v>0</v>
      </c>
      <c r="M96" s="5">
        <v>0</v>
      </c>
      <c r="N96" s="5">
        <v>0</v>
      </c>
      <c r="O96" s="10">
        <f t="shared" si="7"/>
        <v>0</v>
      </c>
      <c r="P96" s="97">
        <f t="shared" si="8"/>
        <v>0</v>
      </c>
      <c r="Q96" s="101" t="str">
        <f t="shared" si="10"/>
        <v xml:space="preserve"> </v>
      </c>
      <c r="R96" s="91" t="str">
        <f>IF($C$4="High Inventory",IF(AND(O96&gt;=Summary!$C$106,P96&gt;=Summary!$C$107),"X"," "),IF(AND(O96&lt;=-Summary!$C$106,P96&lt;=-Summary!$C$107),"X"," "))</f>
        <v xml:space="preserve"> </v>
      </c>
      <c r="S96" s="111" t="str">
        <f>IF(AND(L96-I96&gt;=Summary!$C$110,N96-K96&gt;Summary!$C$110,N96&gt;0),"X"," ")</f>
        <v xml:space="preserve"> </v>
      </c>
      <c r="T96" s="99" t="str">
        <f>IF($C$4="High Inventory",IF(AND($O96&gt;=Summary!$C$106,$P96&gt;=0%),"X"," "),IF(AND($O96&lt;=-Summary!$C$106,$P96&lt;=0%),"X"," "))</f>
        <v xml:space="preserve"> </v>
      </c>
      <c r="U96" s="21" t="str">
        <f>IF($C$4="High Inventory",IF(AND($O96&gt;=0,$P96&gt;=Summary!$C$107),"X"," "),IF(AND($O96&lt;=0,$P96&lt;=-Summary!$C$107),"X"," "))</f>
        <v xml:space="preserve"> </v>
      </c>
      <c r="V96" t="str">
        <f t="shared" si="9"/>
        <v xml:space="preserve"> </v>
      </c>
    </row>
    <row r="97" spans="1:22" x14ac:dyDescent="0.2">
      <c r="A97" s="42">
        <v>20566</v>
      </c>
      <c r="B97" s="77" t="s">
        <v>17</v>
      </c>
      <c r="C97" s="10">
        <v>0</v>
      </c>
      <c r="D97" s="5">
        <v>0</v>
      </c>
      <c r="E97" s="5">
        <v>0</v>
      </c>
      <c r="F97" s="10">
        <v>0</v>
      </c>
      <c r="G97" s="5">
        <v>0</v>
      </c>
      <c r="H97" s="5">
        <v>0</v>
      </c>
      <c r="I97" s="10">
        <v>0</v>
      </c>
      <c r="J97" s="5">
        <v>0</v>
      </c>
      <c r="K97" s="5">
        <v>0</v>
      </c>
      <c r="L97" s="10">
        <v>0</v>
      </c>
      <c r="M97" s="5">
        <v>0</v>
      </c>
      <c r="N97" s="5">
        <v>0</v>
      </c>
      <c r="O97" s="10">
        <f t="shared" si="7"/>
        <v>0</v>
      </c>
      <c r="P97" s="97">
        <f t="shared" si="8"/>
        <v>0</v>
      </c>
      <c r="Q97" s="101" t="str">
        <f t="shared" si="10"/>
        <v xml:space="preserve"> </v>
      </c>
      <c r="R97" s="91" t="str">
        <f>IF($C$4="High Inventory",IF(AND(O97&gt;=Summary!$C$106,P97&gt;=Summary!$C$107),"X"," "),IF(AND(O97&lt;=-Summary!$C$106,P97&lt;=-Summary!$C$107),"X"," "))</f>
        <v xml:space="preserve"> </v>
      </c>
      <c r="S97" s="111" t="str">
        <f>IF(AND(L97-I97&gt;=Summary!$C$110,N97-K97&gt;Summary!$C$110,N97&gt;0),"X"," ")</f>
        <v xml:space="preserve"> </v>
      </c>
      <c r="T97" s="99" t="str">
        <f>IF($C$4="High Inventory",IF(AND($O97&gt;=Summary!$C$106,$P97&gt;=0%),"X"," "),IF(AND($O97&lt;=-Summary!$C$106,$P97&lt;=0%),"X"," "))</f>
        <v xml:space="preserve"> </v>
      </c>
      <c r="U97" s="21" t="str">
        <f>IF($C$4="High Inventory",IF(AND($O97&gt;=0,$P97&gt;=Summary!$C$107),"X"," "),IF(AND($O97&lt;=0,$P97&lt;=-Summary!$C$107),"X"," "))</f>
        <v xml:space="preserve"> </v>
      </c>
      <c r="V97">
        <f>SUM(V$59:V$89)+SUM(V$31:V$53)+SUM(V$10:V$26)</f>
        <v>0</v>
      </c>
    </row>
    <row r="98" spans="1:22" x14ac:dyDescent="0.2">
      <c r="A98" s="42">
        <v>25541</v>
      </c>
      <c r="B98" s="77" t="s">
        <v>17</v>
      </c>
      <c r="C98" s="10">
        <v>0</v>
      </c>
      <c r="D98" s="5">
        <v>13</v>
      </c>
      <c r="E98" s="5">
        <v>-13</v>
      </c>
      <c r="F98" s="10">
        <v>0</v>
      </c>
      <c r="G98" s="5">
        <v>49</v>
      </c>
      <c r="H98" s="5">
        <v>-49</v>
      </c>
      <c r="I98" s="10">
        <v>0</v>
      </c>
      <c r="J98" s="5">
        <v>53</v>
      </c>
      <c r="K98" s="5">
        <v>-53</v>
      </c>
      <c r="L98" s="10">
        <v>0</v>
      </c>
      <c r="M98" s="5">
        <v>11</v>
      </c>
      <c r="N98" s="5">
        <v>-11</v>
      </c>
      <c r="O98" s="10">
        <f>K98+H98+E98</f>
        <v>-115</v>
      </c>
      <c r="P98" s="97">
        <f>O98/(J98+G98+D98+1)</f>
        <v>-0.99137931034482762</v>
      </c>
      <c r="Q98" s="101" t="str">
        <f t="shared" si="10"/>
        <v xml:space="preserve"> </v>
      </c>
      <c r="R98" s="91" t="str">
        <f>IF($C$4="High Inventory",IF(AND(O98&gt;=Summary!$C$106,P98&gt;=Summary!$C$107),"X"," "),IF(AND(O98&lt;=-Summary!$C$106,P98&lt;=-Summary!$C$107),"X"," "))</f>
        <v xml:space="preserve"> </v>
      </c>
      <c r="S98" s="111" t="str">
        <f>IF(AND(L98-I98&gt;=Summary!$C$110,N98-K98&gt;Summary!$C$110,N98&gt;0),"X"," ")</f>
        <v xml:space="preserve"> </v>
      </c>
      <c r="T98" s="99" t="str">
        <f>IF($C$4="High Inventory",IF(AND($O98&gt;=Summary!$C$106,$P98&gt;=0%),"X"," "),IF(AND($O98&lt;=-Summary!$C$106,$P98&lt;=0%),"X"," "))</f>
        <v xml:space="preserve"> </v>
      </c>
      <c r="U98" s="21" t="str">
        <f>IF($C$4="High Inventory",IF(AND($O98&gt;=0,$P98&gt;=Summary!$C$107),"X"," "),IF(AND($O98&lt;=0,$P98&lt;=-Summary!$C$107),"X"," "))</f>
        <v xml:space="preserve"> </v>
      </c>
    </row>
    <row r="99" spans="1:22" x14ac:dyDescent="0.2">
      <c r="A99" s="42">
        <v>28369</v>
      </c>
      <c r="B99" s="77" t="s">
        <v>17</v>
      </c>
      <c r="C99" s="10">
        <v>0</v>
      </c>
      <c r="D99" s="5">
        <v>54</v>
      </c>
      <c r="E99" s="5">
        <v>-54</v>
      </c>
      <c r="F99" s="10">
        <v>0</v>
      </c>
      <c r="G99" s="5">
        <v>54</v>
      </c>
      <c r="H99" s="5">
        <v>-54</v>
      </c>
      <c r="I99" s="10">
        <v>0</v>
      </c>
      <c r="J99" s="5">
        <v>54</v>
      </c>
      <c r="K99" s="5">
        <v>-54</v>
      </c>
      <c r="L99" s="10">
        <v>0</v>
      </c>
      <c r="M99" s="5">
        <v>54</v>
      </c>
      <c r="N99" s="5">
        <v>-54</v>
      </c>
      <c r="O99" s="10">
        <f>K99+H99+E99</f>
        <v>-162</v>
      </c>
      <c r="P99" s="97">
        <f>O99/(J99+G99+D99+1)</f>
        <v>-0.99386503067484666</v>
      </c>
      <c r="Q99" s="101" t="str">
        <f t="shared" si="10"/>
        <v xml:space="preserve"> </v>
      </c>
      <c r="R99" s="91" t="str">
        <f>IF($C$4="High Inventory",IF(AND(O99&gt;=Summary!$C$106,P99&gt;=Summary!$C$107),"X"," "),IF(AND(O99&lt;=-Summary!$C$106,P99&lt;=-Summary!$C$107),"X"," "))</f>
        <v xml:space="preserve"> </v>
      </c>
      <c r="S99" s="111" t="str">
        <f>IF(AND(L99-I99&gt;=Summary!$C$110,N99-K99&gt;Summary!$C$110,N99&gt;0),"X"," ")</f>
        <v xml:space="preserve"> </v>
      </c>
      <c r="T99" s="99" t="str">
        <f>IF($C$4="High Inventory",IF(AND($O99&gt;=Summary!$C$106,$P99&gt;=0%),"X"," "),IF(AND($O99&lt;=-Summary!$C$106,$P99&lt;=0%),"X"," "))</f>
        <v xml:space="preserve"> </v>
      </c>
      <c r="U99" s="21" t="str">
        <f>IF($C$4="High Inventory",IF(AND($O99&gt;=0,$P99&gt;=Summary!$C$107),"X"," "),IF(AND($O99&lt;=0,$P99&lt;=-Summary!$C$107),"X"," "))</f>
        <v xml:space="preserve"> </v>
      </c>
    </row>
    <row r="100" spans="1:22" s="3" customFormat="1" x14ac:dyDescent="0.2">
      <c r="A100" s="2" t="s">
        <v>18</v>
      </c>
      <c r="B100" s="2"/>
      <c r="E100" s="3">
        <f>SUM(E10:E99)</f>
        <v>-6552</v>
      </c>
      <c r="H100" s="3">
        <f>SUM(H10:H99)</f>
        <v>25114</v>
      </c>
      <c r="K100" s="3">
        <f>SUM(K10:K99)</f>
        <v>37169</v>
      </c>
      <c r="M100" s="3">
        <f>SUM(M10:M99)</f>
        <v>1793369</v>
      </c>
      <c r="N100" s="3">
        <f>SUM(N10:N99)</f>
        <v>-99018</v>
      </c>
      <c r="P100" s="22"/>
      <c r="Q100" s="27">
        <f>COUNTIF(Q13:Q99,"X")</f>
        <v>0</v>
      </c>
      <c r="R100" s="92">
        <f>COUNTIF(R13:R99,"X")</f>
        <v>9</v>
      </c>
      <c r="S100" s="112">
        <f>COUNTIF(S13:S99,"X")</f>
        <v>0</v>
      </c>
      <c r="T100" s="100">
        <f>COUNTIF(T13:T99,"X")</f>
        <v>10</v>
      </c>
      <c r="U100" s="105">
        <f>COUNTIF(U13:U99,"X")</f>
        <v>15</v>
      </c>
      <c r="V100"/>
    </row>
    <row r="101" spans="1:22" x14ac:dyDescent="0.2">
      <c r="M101" s="115" t="s">
        <v>57</v>
      </c>
      <c r="N101" s="116">
        <f>N100/M100</f>
        <v>-5.5213400030891577E-2</v>
      </c>
      <c r="P101" s="1"/>
      <c r="R101" s="2" t="str">
        <f>IF(AND(O101&gt;=5000,P101&gt;=10%),"X"," ")</f>
        <v xml:space="preserve"> </v>
      </c>
    </row>
    <row r="102" spans="1:22" x14ac:dyDescent="0.2">
      <c r="P102" s="1"/>
      <c r="R102" s="2" t="str">
        <f>IF(AND(O102&gt;=5000,P102&gt;=10%),"X"," ")</f>
        <v xml:space="preserve"> </v>
      </c>
    </row>
    <row r="105" spans="1:22" hidden="1" x14ac:dyDescent="0.2">
      <c r="A105" s="42">
        <v>7603</v>
      </c>
      <c r="B105" s="77" t="s">
        <v>17</v>
      </c>
      <c r="C105" s="10">
        <v>63425</v>
      </c>
      <c r="D105" s="5">
        <v>0</v>
      </c>
      <c r="E105" s="5">
        <v>63425</v>
      </c>
      <c r="F105" s="10">
        <v>62282</v>
      </c>
      <c r="G105" s="5">
        <v>0</v>
      </c>
      <c r="H105" s="5">
        <v>62282</v>
      </c>
      <c r="I105" s="10">
        <v>59382</v>
      </c>
      <c r="J105" s="5">
        <v>0</v>
      </c>
      <c r="K105" s="5">
        <v>59382</v>
      </c>
      <c r="L105" s="10">
        <v>52467</v>
      </c>
      <c r="M105" s="5">
        <v>0</v>
      </c>
      <c r="N105" s="5">
        <v>52467</v>
      </c>
      <c r="O105" s="10">
        <f>K105+H105+E105</f>
        <v>185089</v>
      </c>
      <c r="P105" s="9">
        <f>O105/(J105+G105+D105+1)</f>
        <v>185089</v>
      </c>
      <c r="Q105" s="18"/>
      <c r="R105" s="17" t="str">
        <f>IF($C$4="High Inventory",IF(AND(O105&gt;=5000,P105&gt;=10%),"X"," "),IF(AND(O105&lt;=-5000,P105&lt;=-10%),"X"," "))</f>
        <v>X</v>
      </c>
    </row>
    <row r="106" spans="1:22" hidden="1" x14ac:dyDescent="0.2">
      <c r="A106" s="42">
        <v>16926</v>
      </c>
      <c r="B106" s="77" t="s">
        <v>17</v>
      </c>
      <c r="C106" s="10">
        <v>12800</v>
      </c>
      <c r="D106" s="5">
        <v>0</v>
      </c>
      <c r="E106" s="5">
        <v>12800</v>
      </c>
      <c r="F106" s="10">
        <v>12800</v>
      </c>
      <c r="G106" s="5">
        <v>0</v>
      </c>
      <c r="H106" s="5">
        <v>12800</v>
      </c>
      <c r="I106" s="10">
        <v>12800</v>
      </c>
      <c r="J106" s="5">
        <v>0</v>
      </c>
      <c r="K106" s="5">
        <v>12800</v>
      </c>
      <c r="L106" s="10">
        <v>12800</v>
      </c>
      <c r="M106" s="5">
        <v>0</v>
      </c>
      <c r="N106" s="5">
        <v>12800</v>
      </c>
      <c r="O106" s="10">
        <f>K106+H106+E106</f>
        <v>38400</v>
      </c>
      <c r="P106" s="9">
        <f>O106/(J106+G106+D106+1)</f>
        <v>38400</v>
      </c>
      <c r="Q106" s="18"/>
      <c r="R106" s="17" t="str">
        <f>IF($C$4="High Inventory",IF(AND(O106&gt;=5000,P106&gt;=10%),"X"," "),IF(AND(O106&lt;=-5000,P106&lt;=-10%),"X"," "))</f>
        <v>X</v>
      </c>
    </row>
    <row r="107" spans="1:22" hidden="1" x14ac:dyDescent="0.2">
      <c r="A107" s="42">
        <v>7606</v>
      </c>
      <c r="B107" s="77" t="s">
        <v>17</v>
      </c>
      <c r="C107" s="10">
        <v>19850</v>
      </c>
      <c r="D107" s="5">
        <v>0</v>
      </c>
      <c r="E107" s="5">
        <v>19850</v>
      </c>
      <c r="F107" s="10">
        <v>19850</v>
      </c>
      <c r="G107" s="5">
        <v>0</v>
      </c>
      <c r="H107" s="5">
        <v>19850</v>
      </c>
      <c r="I107" s="10">
        <v>19850</v>
      </c>
      <c r="J107" s="5">
        <v>0</v>
      </c>
      <c r="K107" s="5">
        <v>19850</v>
      </c>
      <c r="L107" s="10">
        <v>19850</v>
      </c>
      <c r="M107" s="5">
        <v>0</v>
      </c>
      <c r="N107" s="5">
        <v>19850</v>
      </c>
      <c r="O107" s="10">
        <f>K107+H107+E107</f>
        <v>59550</v>
      </c>
      <c r="P107" s="9">
        <f>O107/(J107+G107+D107+1)</f>
        <v>59550</v>
      </c>
      <c r="Q107" s="18"/>
      <c r="R107" s="17" t="str">
        <f>IF($C$4="High Inventory",IF(AND(O107&gt;=5000,P107&gt;=10%),"X"," "),IF(AND(O107&lt;=-5000,P107&lt;=-10%),"X"," "))</f>
        <v>X</v>
      </c>
    </row>
  </sheetData>
  <mergeCells count="1">
    <mergeCell ref="R6:S6"/>
  </mergeCells>
  <pageMargins left="0.25" right="0.25" top="0.77" bottom="0.81" header="0.5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99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5546875" defaultRowHeight="12.75" x14ac:dyDescent="0.2"/>
  <cols>
    <col min="1" max="1" width="9.42578125" style="43" customWidth="1"/>
    <col min="2" max="2" width="10" style="43" customWidth="1"/>
    <col min="3" max="19" width="10" customWidth="1"/>
    <col min="20" max="22" width="10" hidden="1" customWidth="1"/>
    <col min="23" max="42" width="7.85546875" style="29" customWidth="1"/>
    <col min="43" max="252" width="9.140625" customWidth="1"/>
  </cols>
  <sheetData>
    <row r="1" spans="1:42" ht="18" x14ac:dyDescent="0.25">
      <c r="A1" s="80" t="s">
        <v>45</v>
      </c>
    </row>
    <row r="2" spans="1:42" ht="20.25" customHeight="1" x14ac:dyDescent="0.2">
      <c r="A2" s="113" t="s">
        <v>24</v>
      </c>
    </row>
    <row r="3" spans="1:42" ht="15.75" x14ac:dyDescent="0.25">
      <c r="A3" s="81" t="s">
        <v>25</v>
      </c>
      <c r="C3" s="20">
        <f>L8</f>
        <v>36628</v>
      </c>
      <c r="D3" s="19"/>
    </row>
    <row r="4" spans="1:42" ht="15.75" x14ac:dyDescent="0.25">
      <c r="A4" s="81" t="s">
        <v>26</v>
      </c>
      <c r="C4" s="4" t="s">
        <v>27</v>
      </c>
      <c r="E4" s="145" t="s">
        <v>61</v>
      </c>
    </row>
    <row r="5" spans="1:42" ht="16.5" thickBot="1" x14ac:dyDescent="0.3">
      <c r="A5" s="81" t="s">
        <v>28</v>
      </c>
      <c r="C5" s="4" t="s">
        <v>42</v>
      </c>
      <c r="E5" s="81"/>
    </row>
    <row r="6" spans="1:42" ht="21.75" customHeight="1" thickBot="1" x14ac:dyDescent="0.25">
      <c r="R6" s="219" t="s">
        <v>35</v>
      </c>
      <c r="S6" s="220"/>
    </row>
    <row r="7" spans="1:42" s="85" customFormat="1" ht="54" customHeight="1" thickBot="1" x14ac:dyDescent="0.25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56</v>
      </c>
      <c r="Q7" s="82" t="s">
        <v>36</v>
      </c>
      <c r="R7" s="83" t="s">
        <v>50</v>
      </c>
      <c r="S7" s="109" t="s">
        <v>70</v>
      </c>
      <c r="T7" s="82" t="s">
        <v>51</v>
      </c>
      <c r="U7" s="102" t="s">
        <v>52</v>
      </c>
      <c r="V7" s="98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125"/>
      <c r="AO7" s="125"/>
      <c r="AP7" s="125"/>
    </row>
    <row r="8" spans="1:42" s="76" customFormat="1" ht="15.95" customHeight="1" thickBot="1" x14ac:dyDescent="0.25">
      <c r="A8" s="78"/>
      <c r="B8" s="79"/>
      <c r="C8" s="73">
        <v>36625</v>
      </c>
      <c r="D8" s="74"/>
      <c r="E8" s="75" t="str">
        <f>TEXT(WEEKDAY(C8),"dddd")</f>
        <v>Sunday</v>
      </c>
      <c r="F8" s="73">
        <v>36626</v>
      </c>
      <c r="G8" s="74"/>
      <c r="H8" s="75" t="str">
        <f>TEXT(WEEKDAY(F8),"dddd")</f>
        <v>Monday</v>
      </c>
      <c r="I8" s="73">
        <v>36627</v>
      </c>
      <c r="J8" s="74"/>
      <c r="K8" s="75" t="str">
        <f>TEXT(WEEKDAY(I8),"dddd")</f>
        <v>Tuesday</v>
      </c>
      <c r="L8" s="73">
        <v>36628</v>
      </c>
      <c r="M8" s="74"/>
      <c r="N8" s="75" t="str">
        <f>TEXT(WEEKDAY(L8),"dddd")</f>
        <v>Wednesday</v>
      </c>
      <c r="O8" s="71"/>
      <c r="P8" s="95"/>
      <c r="Q8" s="128"/>
      <c r="R8" s="129"/>
      <c r="S8" s="156">
        <f>Summary!$C$110</f>
        <v>5000</v>
      </c>
      <c r="T8" s="128"/>
      <c r="U8" s="130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</row>
    <row r="9" spans="1:42" ht="57.75" hidden="1" x14ac:dyDescent="0.2">
      <c r="A9" s="42" t="s">
        <v>6</v>
      </c>
      <c r="B9" s="77" t="s">
        <v>7</v>
      </c>
      <c r="C9" s="14" t="s">
        <v>43</v>
      </c>
      <c r="D9" s="8" t="s">
        <v>38</v>
      </c>
      <c r="E9" s="8" t="s">
        <v>39</v>
      </c>
      <c r="F9" s="16" t="s">
        <v>37</v>
      </c>
      <c r="G9" s="8" t="s">
        <v>38</v>
      </c>
      <c r="H9" s="8" t="s">
        <v>39</v>
      </c>
      <c r="I9" s="16" t="s">
        <v>37</v>
      </c>
      <c r="J9" s="8" t="s">
        <v>38</v>
      </c>
      <c r="K9" s="8" t="s">
        <v>39</v>
      </c>
      <c r="L9" s="16" t="s">
        <v>37</v>
      </c>
      <c r="M9" s="8" t="s">
        <v>38</v>
      </c>
      <c r="N9" s="8" t="s">
        <v>39</v>
      </c>
      <c r="O9" s="10" t="e">
        <f t="shared" ref="O9:O26" si="0">K9+H9+E9</f>
        <v>#VALUE!</v>
      </c>
      <c r="P9" s="94"/>
      <c r="Q9" s="89"/>
      <c r="R9" s="87"/>
      <c r="S9" s="96"/>
      <c r="T9" s="89"/>
      <c r="U9" s="88"/>
    </row>
    <row r="10" spans="1:42" x14ac:dyDescent="0.2">
      <c r="A10" s="42">
        <v>1117</v>
      </c>
      <c r="B10" s="77" t="s">
        <v>8</v>
      </c>
      <c r="C10" s="10">
        <v>167</v>
      </c>
      <c r="D10" s="5">
        <v>274</v>
      </c>
      <c r="E10" s="5">
        <v>-107</v>
      </c>
      <c r="F10" s="10">
        <v>167</v>
      </c>
      <c r="G10" s="5">
        <v>262</v>
      </c>
      <c r="H10" s="5">
        <v>-95</v>
      </c>
      <c r="I10" s="10">
        <v>167</v>
      </c>
      <c r="J10" s="5">
        <v>235</v>
      </c>
      <c r="K10" s="5">
        <v>-68</v>
      </c>
      <c r="L10" s="10">
        <v>0</v>
      </c>
      <c r="M10" s="5">
        <v>233</v>
      </c>
      <c r="N10" s="5">
        <v>-233</v>
      </c>
      <c r="O10" s="10">
        <f>K10+H10+E10</f>
        <v>-270</v>
      </c>
      <c r="P10" s="97">
        <f>O10/(J10+G10+D10+1)</f>
        <v>-0.34974093264248707</v>
      </c>
      <c r="Q10" s="101" t="str">
        <f t="shared" ref="Q10:Q26" si="1">" "</f>
        <v xml:space="preserve"> </v>
      </c>
      <c r="R10" s="91" t="str">
        <f>IF($C$4="High Inventory",IF(AND(O10&gt;=Summary!$C$106,P10&gt;=Summary!$C$107),"X"," "),IF(AND(O10&lt;=-Summary!$C$106,P10&lt;=-Summary!$C$107),"X"," "))</f>
        <v xml:space="preserve"> </v>
      </c>
      <c r="S10" s="123" t="str">
        <f>IF(AND(L10-I10&gt;=Summary!$C$110,N10-K10&gt;Summary!$C$110,N10&gt;0),"X"," ")</f>
        <v xml:space="preserve"> </v>
      </c>
      <c r="T10" s="17" t="str">
        <f>IF($C$4="High Inventory",IF(AND($O10&gt;=Summary!$C$106,$P10&gt;=0%),"X"," "),IF(AND($O10&lt;=-Summary!$C$106,$P10&lt;=0%),"X"," "))</f>
        <v xml:space="preserve"> </v>
      </c>
      <c r="U10" s="21" t="str">
        <f>IF($C$4="High Inventory",IF(AND($O10&gt;=0,$P10&gt;=Summary!$C$107),"X"," "),IF(AND($O10&lt;=0,$P10&lt;=-Summary!$C$107),"X"," "))</f>
        <v xml:space="preserve"> </v>
      </c>
      <c r="V10" t="str">
        <f t="shared" ref="V10:V41" si="2">IF(S10 = "X",L10-I10," ")</f>
        <v xml:space="preserve"> </v>
      </c>
    </row>
    <row r="11" spans="1:42" x14ac:dyDescent="0.2">
      <c r="A11" s="42">
        <v>1126</v>
      </c>
      <c r="B11" s="77" t="s">
        <v>8</v>
      </c>
      <c r="C11" s="10">
        <v>0</v>
      </c>
      <c r="D11" s="5">
        <v>52</v>
      </c>
      <c r="E11" s="5">
        <v>-52</v>
      </c>
      <c r="F11" s="10">
        <v>0</v>
      </c>
      <c r="G11" s="5">
        <v>55</v>
      </c>
      <c r="H11" s="5">
        <v>-55</v>
      </c>
      <c r="I11" s="10">
        <v>0</v>
      </c>
      <c r="J11" s="5">
        <v>50</v>
      </c>
      <c r="K11" s="5">
        <v>-50</v>
      </c>
      <c r="L11" s="10">
        <v>0</v>
      </c>
      <c r="M11" s="5">
        <v>50</v>
      </c>
      <c r="N11" s="5">
        <v>-50</v>
      </c>
      <c r="O11" s="10">
        <f t="shared" si="0"/>
        <v>-157</v>
      </c>
      <c r="P11" s="97">
        <f t="shared" ref="P11:P26" si="3">O11/(J11+G11+D11+1)</f>
        <v>-0.99367088607594933</v>
      </c>
      <c r="Q11" s="101" t="str">
        <f t="shared" si="1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123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2"/>
        <v xml:space="preserve"> </v>
      </c>
    </row>
    <row r="12" spans="1:42" x14ac:dyDescent="0.2">
      <c r="A12" s="42">
        <v>1157</v>
      </c>
      <c r="B12" s="77" t="s">
        <v>8</v>
      </c>
      <c r="C12" s="10">
        <v>0</v>
      </c>
      <c r="D12" s="5">
        <v>114</v>
      </c>
      <c r="E12" s="5">
        <v>-114</v>
      </c>
      <c r="F12" s="10">
        <v>0</v>
      </c>
      <c r="G12" s="5">
        <v>108</v>
      </c>
      <c r="H12" s="5">
        <v>-108</v>
      </c>
      <c r="I12" s="10">
        <v>0</v>
      </c>
      <c r="J12" s="5">
        <v>96</v>
      </c>
      <c r="K12" s="5">
        <v>-96</v>
      </c>
      <c r="L12" s="10">
        <v>100</v>
      </c>
      <c r="M12" s="5">
        <v>102</v>
      </c>
      <c r="N12" s="5">
        <v>-2</v>
      </c>
      <c r="O12" s="10">
        <f t="shared" si="0"/>
        <v>-318</v>
      </c>
      <c r="P12" s="97">
        <f>O12/(J12+G12+D12+1)</f>
        <v>-0.99686520376175547</v>
      </c>
      <c r="Q12" s="101" t="str">
        <f t="shared" si="1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123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2"/>
        <v xml:space="preserve"> </v>
      </c>
    </row>
    <row r="13" spans="1:42" x14ac:dyDescent="0.2">
      <c r="A13" s="42">
        <v>1780</v>
      </c>
      <c r="B13" s="77" t="s">
        <v>8</v>
      </c>
      <c r="C13" s="10">
        <v>1010</v>
      </c>
      <c r="D13" s="5">
        <v>1866</v>
      </c>
      <c r="E13" s="5">
        <v>-856</v>
      </c>
      <c r="F13" s="10">
        <v>1010</v>
      </c>
      <c r="G13" s="5">
        <v>1717</v>
      </c>
      <c r="H13" s="5">
        <v>-707</v>
      </c>
      <c r="I13" s="10">
        <v>1010</v>
      </c>
      <c r="J13" s="5">
        <v>1504</v>
      </c>
      <c r="K13" s="5">
        <v>-494</v>
      </c>
      <c r="L13" s="10">
        <v>1210</v>
      </c>
      <c r="M13" s="5">
        <v>1528</v>
      </c>
      <c r="N13" s="5">
        <v>-318</v>
      </c>
      <c r="O13" s="10">
        <f t="shared" si="0"/>
        <v>-2057</v>
      </c>
      <c r="P13" s="97">
        <f>O13/(J13+G13+D13+1)</f>
        <v>-0.40428459119496857</v>
      </c>
      <c r="Q13" s="101" t="str">
        <f t="shared" si="1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123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2"/>
        <v xml:space="preserve"> </v>
      </c>
    </row>
    <row r="14" spans="1:42" x14ac:dyDescent="0.2">
      <c r="A14" s="42">
        <v>2280</v>
      </c>
      <c r="B14" s="77" t="s">
        <v>8</v>
      </c>
      <c r="C14" s="10">
        <v>169</v>
      </c>
      <c r="D14" s="5">
        <v>530</v>
      </c>
      <c r="E14" s="5">
        <v>-361</v>
      </c>
      <c r="F14" s="10">
        <v>443</v>
      </c>
      <c r="G14" s="5">
        <v>534</v>
      </c>
      <c r="H14" s="5">
        <v>-91</v>
      </c>
      <c r="I14" s="10">
        <v>443</v>
      </c>
      <c r="J14" s="5">
        <v>489</v>
      </c>
      <c r="K14" s="5">
        <v>-46</v>
      </c>
      <c r="L14" s="10">
        <v>443</v>
      </c>
      <c r="M14" s="5">
        <v>494</v>
      </c>
      <c r="N14" s="5">
        <v>-51</v>
      </c>
      <c r="O14" s="10">
        <f t="shared" si="0"/>
        <v>-498</v>
      </c>
      <c r="P14" s="97">
        <f t="shared" si="3"/>
        <v>-0.32046332046332049</v>
      </c>
      <c r="Q14" s="101" t="str">
        <f t="shared" si="1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123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2"/>
        <v xml:space="preserve"> </v>
      </c>
    </row>
    <row r="15" spans="1:42" x14ac:dyDescent="0.2">
      <c r="A15" s="42">
        <v>2584</v>
      </c>
      <c r="B15" s="77" t="s">
        <v>8</v>
      </c>
      <c r="C15" s="10">
        <v>3600</v>
      </c>
      <c r="D15" s="5">
        <v>3836</v>
      </c>
      <c r="E15" s="5">
        <v>-236</v>
      </c>
      <c r="F15" s="10">
        <v>3600</v>
      </c>
      <c r="G15" s="5">
        <v>3907</v>
      </c>
      <c r="H15" s="5">
        <v>-307</v>
      </c>
      <c r="I15" s="10">
        <v>3600</v>
      </c>
      <c r="J15" s="5">
        <v>3564</v>
      </c>
      <c r="K15" s="5">
        <v>36</v>
      </c>
      <c r="L15" s="10">
        <v>3500</v>
      </c>
      <c r="M15" s="5">
        <v>3582</v>
      </c>
      <c r="N15" s="5">
        <v>-82</v>
      </c>
      <c r="O15" s="10">
        <f>K15+H15+E15</f>
        <v>-507</v>
      </c>
      <c r="P15" s="97">
        <f t="shared" si="3"/>
        <v>-4.4835514679872658E-2</v>
      </c>
      <c r="Q15" s="101" t="str">
        <f t="shared" si="1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123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 xml:space="preserve"> </v>
      </c>
      <c r="V15" t="str">
        <f t="shared" si="2"/>
        <v xml:space="preserve"> </v>
      </c>
    </row>
    <row r="16" spans="1:42" x14ac:dyDescent="0.2">
      <c r="A16" s="42">
        <v>2771</v>
      </c>
      <c r="B16" s="77" t="s">
        <v>8</v>
      </c>
      <c r="C16" s="10">
        <v>7800</v>
      </c>
      <c r="D16" s="5">
        <v>7144</v>
      </c>
      <c r="E16" s="5">
        <v>656</v>
      </c>
      <c r="F16" s="10">
        <v>7800</v>
      </c>
      <c r="G16" s="5">
        <v>7117</v>
      </c>
      <c r="H16" s="5">
        <v>683</v>
      </c>
      <c r="I16" s="10">
        <v>7800</v>
      </c>
      <c r="J16" s="5">
        <v>6472</v>
      </c>
      <c r="K16" s="5">
        <v>1328</v>
      </c>
      <c r="L16" s="10">
        <v>6600</v>
      </c>
      <c r="M16" s="5">
        <v>6499</v>
      </c>
      <c r="N16" s="5">
        <v>101</v>
      </c>
      <c r="O16" s="10">
        <f t="shared" si="0"/>
        <v>2667</v>
      </c>
      <c r="P16" s="97">
        <f t="shared" si="3"/>
        <v>0.12862930452397028</v>
      </c>
      <c r="Q16" s="101" t="str">
        <f t="shared" si="1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123" t="str">
        <f>IF(AND(L16-I16&gt;=Summary!$C$110,N16-K16&gt;Summary!$C$110,N16&gt;0),"X"," ")</f>
        <v xml:space="preserve"> 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>X</v>
      </c>
      <c r="V16" t="str">
        <f t="shared" si="2"/>
        <v xml:space="preserve"> </v>
      </c>
    </row>
    <row r="17" spans="1:22" x14ac:dyDescent="0.2">
      <c r="A17" s="42">
        <v>2832</v>
      </c>
      <c r="B17" s="77" t="s">
        <v>8</v>
      </c>
      <c r="C17" s="10">
        <v>1033</v>
      </c>
      <c r="D17" s="5">
        <v>1040</v>
      </c>
      <c r="E17" s="5">
        <v>-7</v>
      </c>
      <c r="F17" s="10">
        <v>1033</v>
      </c>
      <c r="G17" s="5">
        <v>1031</v>
      </c>
      <c r="H17" s="5">
        <v>2</v>
      </c>
      <c r="I17" s="10">
        <v>1033</v>
      </c>
      <c r="J17" s="5">
        <v>925</v>
      </c>
      <c r="K17" s="5">
        <v>108</v>
      </c>
      <c r="L17" s="10">
        <v>1033</v>
      </c>
      <c r="M17" s="5">
        <v>927</v>
      </c>
      <c r="N17" s="5">
        <v>106</v>
      </c>
      <c r="O17" s="10">
        <f>K17+H17+E17</f>
        <v>103</v>
      </c>
      <c r="P17" s="97">
        <f>O17/(J17+G17+D17+1)</f>
        <v>3.4367701034367704E-2</v>
      </c>
      <c r="Q17" s="101" t="str">
        <f t="shared" si="1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123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2"/>
        <v xml:space="preserve"> </v>
      </c>
    </row>
    <row r="18" spans="1:22" x14ac:dyDescent="0.2">
      <c r="A18" s="42">
        <v>2892</v>
      </c>
      <c r="B18" s="77" t="s">
        <v>8</v>
      </c>
      <c r="C18" s="10">
        <v>4307</v>
      </c>
      <c r="D18" s="5">
        <v>4707</v>
      </c>
      <c r="E18" s="5">
        <v>-400</v>
      </c>
      <c r="F18" s="10">
        <v>4307</v>
      </c>
      <c r="G18" s="5">
        <v>4714</v>
      </c>
      <c r="H18" s="5">
        <v>-407</v>
      </c>
      <c r="I18" s="10">
        <v>5307</v>
      </c>
      <c r="J18" s="5">
        <v>4294</v>
      </c>
      <c r="K18" s="5">
        <v>1013</v>
      </c>
      <c r="L18" s="10">
        <v>5307</v>
      </c>
      <c r="M18" s="5">
        <v>4305</v>
      </c>
      <c r="N18" s="5">
        <v>1002</v>
      </c>
      <c r="O18" s="10">
        <f>K18+H18+E18</f>
        <v>206</v>
      </c>
      <c r="P18" s="97">
        <f>O18/(J18+G18+D18+1)</f>
        <v>1.5018955963837854E-2</v>
      </c>
      <c r="Q18" s="101" t="str">
        <f t="shared" si="1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123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2"/>
        <v xml:space="preserve"> </v>
      </c>
    </row>
    <row r="19" spans="1:22" x14ac:dyDescent="0.2">
      <c r="A19" s="42">
        <v>2939</v>
      </c>
      <c r="B19" s="77" t="s">
        <v>8</v>
      </c>
      <c r="C19" s="10">
        <v>0</v>
      </c>
      <c r="D19" s="5">
        <v>2022</v>
      </c>
      <c r="E19" s="5">
        <v>-2022</v>
      </c>
      <c r="F19" s="10">
        <v>0</v>
      </c>
      <c r="G19" s="5">
        <v>1989</v>
      </c>
      <c r="H19" s="5">
        <v>-1989</v>
      </c>
      <c r="I19" s="10">
        <v>0</v>
      </c>
      <c r="J19" s="5">
        <v>1805</v>
      </c>
      <c r="K19" s="5">
        <v>-1805</v>
      </c>
      <c r="L19" s="10">
        <v>0</v>
      </c>
      <c r="M19" s="5">
        <v>1815</v>
      </c>
      <c r="N19" s="5">
        <v>-1815</v>
      </c>
      <c r="O19" s="10">
        <f t="shared" si="0"/>
        <v>-5816</v>
      </c>
      <c r="P19" s="97">
        <f t="shared" si="3"/>
        <v>-0.99982809008079765</v>
      </c>
      <c r="Q19" s="101" t="str">
        <f t="shared" si="1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123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2"/>
        <v xml:space="preserve"> </v>
      </c>
    </row>
    <row r="20" spans="1:22" x14ac:dyDescent="0.2">
      <c r="A20" s="42">
        <v>3152</v>
      </c>
      <c r="B20" s="77" t="s">
        <v>8</v>
      </c>
      <c r="C20" s="10">
        <v>8732</v>
      </c>
      <c r="D20" s="5">
        <v>9665</v>
      </c>
      <c r="E20" s="5">
        <v>-933</v>
      </c>
      <c r="F20" s="10">
        <v>8732</v>
      </c>
      <c r="G20" s="5">
        <v>9419</v>
      </c>
      <c r="H20" s="5">
        <v>-687</v>
      </c>
      <c r="I20" s="10">
        <v>8732</v>
      </c>
      <c r="J20" s="5">
        <v>8438</v>
      </c>
      <c r="K20" s="5">
        <v>294</v>
      </c>
      <c r="L20" s="10">
        <v>8500</v>
      </c>
      <c r="M20" s="5">
        <v>8478</v>
      </c>
      <c r="N20" s="5">
        <v>22</v>
      </c>
      <c r="O20" s="10">
        <f t="shared" si="0"/>
        <v>-1326</v>
      </c>
      <c r="P20" s="97">
        <f t="shared" si="3"/>
        <v>-4.8177887584928969E-2</v>
      </c>
      <c r="Q20" s="101" t="str">
        <f t="shared" si="1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123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t="str">
        <f t="shared" si="2"/>
        <v xml:space="preserve"> </v>
      </c>
    </row>
    <row r="21" spans="1:22" x14ac:dyDescent="0.2">
      <c r="A21" s="42">
        <v>4303</v>
      </c>
      <c r="B21" s="77" t="s">
        <v>8</v>
      </c>
      <c r="C21" s="10">
        <v>2168</v>
      </c>
      <c r="D21" s="5">
        <v>2627</v>
      </c>
      <c r="E21" s="5">
        <v>-459</v>
      </c>
      <c r="F21" s="10">
        <v>2168</v>
      </c>
      <c r="G21" s="5">
        <v>2557</v>
      </c>
      <c r="H21" s="5">
        <v>-389</v>
      </c>
      <c r="I21" s="10">
        <v>2568</v>
      </c>
      <c r="J21" s="5">
        <v>2296</v>
      </c>
      <c r="K21" s="5">
        <v>272</v>
      </c>
      <c r="L21" s="10">
        <v>2868</v>
      </c>
      <c r="M21" s="5">
        <v>2315</v>
      </c>
      <c r="N21" s="5">
        <v>553</v>
      </c>
      <c r="O21" s="10">
        <f t="shared" si="0"/>
        <v>-576</v>
      </c>
      <c r="P21" s="97">
        <f t="shared" si="3"/>
        <v>-7.699505413714744E-2</v>
      </c>
      <c r="Q21" s="101" t="str">
        <f t="shared" si="1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123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2"/>
        <v xml:space="preserve"> </v>
      </c>
    </row>
    <row r="22" spans="1:22" x14ac:dyDescent="0.2">
      <c r="A22" s="42">
        <v>6500</v>
      </c>
      <c r="B22" s="77" t="s">
        <v>8</v>
      </c>
      <c r="C22" s="10">
        <v>698249</v>
      </c>
      <c r="D22" s="5">
        <v>727460</v>
      </c>
      <c r="E22" s="5">
        <v>-29211</v>
      </c>
      <c r="F22" s="10">
        <v>683954</v>
      </c>
      <c r="G22" s="5">
        <v>665144</v>
      </c>
      <c r="H22" s="5">
        <v>18810</v>
      </c>
      <c r="I22" s="10">
        <v>593541</v>
      </c>
      <c r="J22" s="5">
        <v>578191</v>
      </c>
      <c r="K22" s="5">
        <v>15350</v>
      </c>
      <c r="L22" s="10">
        <v>514803</v>
      </c>
      <c r="M22" s="5">
        <v>582170</v>
      </c>
      <c r="N22" s="5">
        <v>-67367</v>
      </c>
      <c r="O22" s="10">
        <f t="shared" si="0"/>
        <v>4949</v>
      </c>
      <c r="P22" s="97">
        <f t="shared" si="3"/>
        <v>2.5111680762493938E-3</v>
      </c>
      <c r="Q22" s="101" t="str">
        <f t="shared" si="1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123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 xml:space="preserve"> 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2"/>
        <v xml:space="preserve"> </v>
      </c>
    </row>
    <row r="23" spans="1:22" x14ac:dyDescent="0.2">
      <c r="A23" s="42">
        <v>10656</v>
      </c>
      <c r="B23" s="77" t="s">
        <v>8</v>
      </c>
      <c r="C23" s="10">
        <v>248</v>
      </c>
      <c r="D23" s="5">
        <v>322</v>
      </c>
      <c r="E23" s="5">
        <v>-74</v>
      </c>
      <c r="F23" s="10">
        <v>248</v>
      </c>
      <c r="G23" s="5">
        <v>277</v>
      </c>
      <c r="H23" s="5">
        <v>-29</v>
      </c>
      <c r="I23" s="10">
        <v>248</v>
      </c>
      <c r="J23" s="5">
        <v>231</v>
      </c>
      <c r="K23" s="5">
        <v>17</v>
      </c>
      <c r="L23" s="10">
        <v>0</v>
      </c>
      <c r="M23" s="5">
        <v>257</v>
      </c>
      <c r="N23" s="5">
        <v>-257</v>
      </c>
      <c r="O23" s="10">
        <f>K23+H23+E23</f>
        <v>-86</v>
      </c>
      <c r="P23" s="97">
        <f>O23/(J23+G23+D23+1)</f>
        <v>-0.10348977135980746</v>
      </c>
      <c r="Q23" s="101" t="str">
        <f t="shared" si="1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123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2"/>
        <v xml:space="preserve"> </v>
      </c>
    </row>
    <row r="24" spans="1:22" x14ac:dyDescent="0.2">
      <c r="A24" s="42">
        <v>12296</v>
      </c>
      <c r="B24" s="77" t="s">
        <v>8</v>
      </c>
      <c r="C24" s="10">
        <v>2500</v>
      </c>
      <c r="D24" s="5">
        <v>2611</v>
      </c>
      <c r="E24" s="5">
        <v>-111</v>
      </c>
      <c r="F24" s="10">
        <v>2500</v>
      </c>
      <c r="G24" s="5">
        <v>2590</v>
      </c>
      <c r="H24" s="5">
        <v>-90</v>
      </c>
      <c r="I24" s="10">
        <v>2500</v>
      </c>
      <c r="J24" s="5">
        <v>2358</v>
      </c>
      <c r="K24" s="5">
        <v>142</v>
      </c>
      <c r="L24" s="10">
        <v>2500</v>
      </c>
      <c r="M24" s="5">
        <v>2362</v>
      </c>
      <c r="N24" s="5">
        <v>138</v>
      </c>
      <c r="O24" s="10">
        <f t="shared" si="0"/>
        <v>-59</v>
      </c>
      <c r="P24" s="97">
        <f t="shared" si="3"/>
        <v>-7.804232804232804E-3</v>
      </c>
      <c r="Q24" s="101" t="str">
        <f t="shared" si="1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123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2"/>
        <v xml:space="preserve"> </v>
      </c>
    </row>
    <row r="25" spans="1:22" x14ac:dyDescent="0.2">
      <c r="A25" s="42">
        <v>16786</v>
      </c>
      <c r="B25" s="77" t="s">
        <v>8</v>
      </c>
      <c r="C25" s="10">
        <v>2990</v>
      </c>
      <c r="D25" s="5">
        <v>3818</v>
      </c>
      <c r="E25" s="5">
        <v>-828</v>
      </c>
      <c r="F25" s="10">
        <v>2990</v>
      </c>
      <c r="G25" s="5">
        <v>3513</v>
      </c>
      <c r="H25" s="5">
        <v>-523</v>
      </c>
      <c r="I25" s="10">
        <v>3509</v>
      </c>
      <c r="J25" s="5">
        <v>3081</v>
      </c>
      <c r="K25" s="5">
        <v>428</v>
      </c>
      <c r="L25" s="10">
        <v>3509</v>
      </c>
      <c r="M25" s="5">
        <v>3119</v>
      </c>
      <c r="N25" s="5">
        <v>390</v>
      </c>
      <c r="O25" s="10">
        <f t="shared" si="0"/>
        <v>-923</v>
      </c>
      <c r="P25" s="97">
        <f t="shared" si="3"/>
        <v>-8.8639200998751555E-2</v>
      </c>
      <c r="Q25" s="101" t="str">
        <f t="shared" si="1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123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2"/>
        <v xml:space="preserve"> </v>
      </c>
    </row>
    <row r="26" spans="1:22" x14ac:dyDescent="0.2">
      <c r="A26" s="42">
        <v>17791</v>
      </c>
      <c r="B26" s="77" t="s">
        <v>8</v>
      </c>
      <c r="C26" s="10">
        <v>125</v>
      </c>
      <c r="D26" s="5">
        <v>347</v>
      </c>
      <c r="E26" s="5">
        <v>-222</v>
      </c>
      <c r="F26" s="10">
        <v>125</v>
      </c>
      <c r="G26" s="5">
        <v>337</v>
      </c>
      <c r="H26" s="5">
        <v>-212</v>
      </c>
      <c r="I26" s="10">
        <v>125</v>
      </c>
      <c r="J26" s="5">
        <v>302</v>
      </c>
      <c r="K26" s="5">
        <v>-177</v>
      </c>
      <c r="L26" s="10">
        <v>140</v>
      </c>
      <c r="M26" s="5">
        <v>315</v>
      </c>
      <c r="N26" s="5">
        <v>-175</v>
      </c>
      <c r="O26" s="10">
        <f t="shared" si="0"/>
        <v>-611</v>
      </c>
      <c r="P26" s="97">
        <f t="shared" si="3"/>
        <v>-0.61904761904761907</v>
      </c>
      <c r="Q26" s="101" t="str">
        <f t="shared" si="1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123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2"/>
        <v xml:space="preserve"> </v>
      </c>
    </row>
    <row r="27" spans="1:22" hidden="1" x14ac:dyDescent="0.2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"/>
      <c r="R27" s="91" t="str">
        <f>IF($C$4="High Inventory",IF(AND(O27&gt;=Summary!$C$106,P27&gt;=Summary!$C$107),"X"," "),IF(AND(O27&lt;=-Summary!$C$106,P27&lt;=-Summary!$C$107),"X"," "))</f>
        <v xml:space="preserve"> </v>
      </c>
      <c r="S27" s="123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2"/>
        <v xml:space="preserve"> </v>
      </c>
    </row>
    <row r="28" spans="1:22" hidden="1" x14ac:dyDescent="0.2">
      <c r="A28" s="42"/>
      <c r="B28" s="77"/>
      <c r="C28" s="10"/>
      <c r="D28" s="5"/>
      <c r="E28" s="5"/>
      <c r="F28" s="10"/>
      <c r="G28" s="5"/>
      <c r="H28" s="5"/>
      <c r="I28" s="10"/>
      <c r="J28" s="5"/>
      <c r="K28" s="5"/>
      <c r="L28" s="10"/>
      <c r="M28" s="5"/>
      <c r="N28" s="5"/>
      <c r="O28" s="10">
        <f>K28+H28+E28</f>
        <v>0</v>
      </c>
      <c r="P28" s="97">
        <f>O28/(J28+G28+D28+1)</f>
        <v>0</v>
      </c>
      <c r="Q28" s="10"/>
      <c r="R28" s="91" t="str">
        <f>IF($C$4="High Inventory",IF(AND(O28&gt;=Summary!$C$106,P28&gt;=Summary!$C$107),"X"," "),IF(AND(O28&lt;=-Summary!$C$106,P28&lt;=-Summary!$C$107),"X"," "))</f>
        <v xml:space="preserve"> </v>
      </c>
      <c r="S28" s="123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2"/>
        <v xml:space="preserve"> </v>
      </c>
    </row>
    <row r="29" spans="1:22" hidden="1" x14ac:dyDescent="0.2">
      <c r="A29" s="42"/>
      <c r="B29" s="77"/>
      <c r="C29" s="15">
        <v>36625</v>
      </c>
      <c r="D29" s="5"/>
      <c r="E29" s="5"/>
      <c r="F29" s="15">
        <v>36626</v>
      </c>
      <c r="G29" s="5"/>
      <c r="H29" s="5"/>
      <c r="I29" s="15">
        <v>36627</v>
      </c>
      <c r="J29" s="5"/>
      <c r="K29" s="5"/>
      <c r="L29" s="15">
        <v>36628</v>
      </c>
      <c r="M29" s="5"/>
      <c r="N29" s="5"/>
      <c r="O29" s="10">
        <f>K29+H29+E29</f>
        <v>0</v>
      </c>
      <c r="P29" s="97">
        <f>O29/(J29+G29+D29+1)</f>
        <v>0</v>
      </c>
      <c r="Q29" s="15"/>
      <c r="R29" s="91" t="str">
        <f>IF($C$4="High Inventory",IF(AND(O29&gt;=Summary!$C$106,P29&gt;=Summary!$C$107),"X"," "),IF(AND(O29&lt;=-Summary!$C$106,P29&lt;=-Summary!$C$107),"X"," "))</f>
        <v xml:space="preserve"> </v>
      </c>
      <c r="S29" s="123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2"/>
        <v xml:space="preserve"> </v>
      </c>
    </row>
    <row r="30" spans="1:22" hidden="1" x14ac:dyDescent="0.2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"/>
      <c r="R30" s="91" t="e">
        <f>IF($C$4="High Inventory",IF(AND(O30&gt;=Summary!$C$106,P30&gt;=Summary!$C$107),"X"," "),IF(AND(O30&lt;=-Summary!$C$106,P30&lt;=-Summary!$C$107),"X"," "))</f>
        <v>#VALUE!</v>
      </c>
      <c r="S30" s="123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2"/>
        <v>#VALUE!</v>
      </c>
    </row>
    <row r="31" spans="1:22" x14ac:dyDescent="0.2">
      <c r="A31" s="42">
        <v>1117</v>
      </c>
      <c r="B31" s="77" t="s">
        <v>15</v>
      </c>
      <c r="C31" s="10">
        <v>63534</v>
      </c>
      <c r="D31" s="5">
        <v>56957</v>
      </c>
      <c r="E31" s="5">
        <v>6577</v>
      </c>
      <c r="F31" s="10">
        <v>63517</v>
      </c>
      <c r="G31" s="5">
        <v>70783</v>
      </c>
      <c r="H31" s="5">
        <v>-7266</v>
      </c>
      <c r="I31" s="10">
        <v>91065</v>
      </c>
      <c r="J31" s="5">
        <v>72737</v>
      </c>
      <c r="K31" s="5">
        <v>18328</v>
      </c>
      <c r="L31" s="10">
        <v>67562</v>
      </c>
      <c r="M31" s="5">
        <v>73901</v>
      </c>
      <c r="N31" s="5">
        <v>-6339</v>
      </c>
      <c r="O31" s="10">
        <f>K31+H31+E31</f>
        <v>17639</v>
      </c>
      <c r="P31" s="97">
        <f>O31/(J31+G31+D31+1)</f>
        <v>8.7984716527499271E-2</v>
      </c>
      <c r="Q31" s="17" t="str">
        <f>"X"</f>
        <v>X</v>
      </c>
      <c r="R31" s="91" t="str">
        <f>IF($C$4="High Inventory",IF(AND(O31&gt;=Summary!$C$106,P31&gt;=Summary!$C$107),"X"," "),IF(AND(O31&lt;=-Summary!$C$106,P31&lt;=-Summary!$C$107),"X"," "))</f>
        <v xml:space="preserve"> </v>
      </c>
      <c r="S31" s="123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 xml:space="preserve"> </v>
      </c>
      <c r="V31" t="str">
        <f t="shared" si="2"/>
        <v xml:space="preserve"> </v>
      </c>
    </row>
    <row r="32" spans="1:22" x14ac:dyDescent="0.2">
      <c r="A32" s="42">
        <v>1126</v>
      </c>
      <c r="B32" s="77" t="s">
        <v>15</v>
      </c>
      <c r="C32" s="10">
        <v>32918</v>
      </c>
      <c r="D32" s="5">
        <v>29028</v>
      </c>
      <c r="E32" s="5">
        <v>3890</v>
      </c>
      <c r="F32" s="10">
        <v>32918</v>
      </c>
      <c r="G32" s="5">
        <v>30780</v>
      </c>
      <c r="H32" s="5">
        <v>2138</v>
      </c>
      <c r="I32" s="10">
        <v>32918</v>
      </c>
      <c r="J32" s="5">
        <v>29489</v>
      </c>
      <c r="K32" s="5">
        <v>3429</v>
      </c>
      <c r="L32" s="10">
        <v>32765</v>
      </c>
      <c r="M32" s="5">
        <v>28541</v>
      </c>
      <c r="N32" s="5">
        <v>4224</v>
      </c>
      <c r="O32" s="10">
        <f t="shared" ref="O32:O53" si="4">K32+H32+E32</f>
        <v>9457</v>
      </c>
      <c r="P32" s="97">
        <f t="shared" ref="P32:P53" si="5">O32/(J32+G32+D32+1)</f>
        <v>0.10590382763331765</v>
      </c>
      <c r="Q32" s="101" t="str">
        <f>" "</f>
        <v xml:space="preserve"> </v>
      </c>
      <c r="R32" s="91" t="str">
        <f>IF($C$4="High Inventory",IF(AND(O32&gt;=Summary!$C$106,P32&gt;=Summary!$C$107),"X"," "),IF(AND(O32&lt;=-Summary!$C$106,P32&lt;=-Summary!$C$107),"X"," "))</f>
        <v>X</v>
      </c>
      <c r="S32" s="123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2"/>
        <v xml:space="preserve"> </v>
      </c>
    </row>
    <row r="33" spans="1:22" x14ac:dyDescent="0.2">
      <c r="A33" s="42">
        <v>1157</v>
      </c>
      <c r="B33" s="77" t="s">
        <v>15</v>
      </c>
      <c r="C33" s="10">
        <v>127499</v>
      </c>
      <c r="D33" s="5">
        <v>69854</v>
      </c>
      <c r="E33" s="5">
        <v>57645</v>
      </c>
      <c r="F33" s="10">
        <v>127293</v>
      </c>
      <c r="G33" s="5">
        <v>80206</v>
      </c>
      <c r="H33" s="5">
        <v>47087</v>
      </c>
      <c r="I33" s="10">
        <v>125899</v>
      </c>
      <c r="J33" s="5">
        <v>72742</v>
      </c>
      <c r="K33" s="5">
        <v>53157</v>
      </c>
      <c r="L33" s="10">
        <v>78703</v>
      </c>
      <c r="M33" s="5">
        <v>82339</v>
      </c>
      <c r="N33" s="5">
        <v>-3636</v>
      </c>
      <c r="O33" s="10">
        <f>K33+H33+E33</f>
        <v>157889</v>
      </c>
      <c r="P33" s="97">
        <f>O33/(J33+G33+D33+1)</f>
        <v>0.70864844728302578</v>
      </c>
      <c r="Q33" s="17" t="s">
        <v>44</v>
      </c>
      <c r="R33" s="91" t="str">
        <f>IF($C$4="High Inventory",IF(AND(O33&gt;=Summary!$C$106,P33&gt;=Summary!$C$107),"X"," "),IF(AND(O33&lt;=-Summary!$C$106,P33&lt;=-Summary!$C$107),"X"," "))</f>
        <v>X</v>
      </c>
      <c r="S33" s="123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2"/>
        <v xml:space="preserve"> </v>
      </c>
    </row>
    <row r="34" spans="1:22" x14ac:dyDescent="0.2">
      <c r="A34" s="42">
        <v>1281</v>
      </c>
      <c r="B34" s="77" t="s">
        <v>15</v>
      </c>
      <c r="C34" s="10">
        <v>14808</v>
      </c>
      <c r="D34" s="5">
        <v>15756</v>
      </c>
      <c r="E34" s="5">
        <v>-948</v>
      </c>
      <c r="F34" s="10">
        <v>23402</v>
      </c>
      <c r="G34" s="5">
        <v>28747</v>
      </c>
      <c r="H34" s="5">
        <v>-5345</v>
      </c>
      <c r="I34" s="10">
        <v>6206</v>
      </c>
      <c r="J34" s="5">
        <v>24424</v>
      </c>
      <c r="K34" s="5">
        <v>-18218</v>
      </c>
      <c r="L34" s="10">
        <v>27074</v>
      </c>
      <c r="M34" s="5">
        <v>22700</v>
      </c>
      <c r="N34" s="5">
        <v>4374</v>
      </c>
      <c r="O34" s="10">
        <f>K34+H34+E34</f>
        <v>-24511</v>
      </c>
      <c r="P34" s="97">
        <f>O34/(J34+G34+D34+1)</f>
        <v>-0.355602948003714</v>
      </c>
      <c r="Q34" s="101" t="str">
        <f>" "</f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123" t="str">
        <f>IF(AND(L34-I34&gt;=Summary!$C$110,N34-K34&gt;Summary!$C$110,N34&gt;0),"X"," ")</f>
        <v>X</v>
      </c>
      <c r="T34" s="17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>
        <f t="shared" si="2"/>
        <v>20868</v>
      </c>
    </row>
    <row r="35" spans="1:22" x14ac:dyDescent="0.2">
      <c r="A35" s="42">
        <v>1340</v>
      </c>
      <c r="B35" s="77" t="s">
        <v>15</v>
      </c>
      <c r="C35" s="10">
        <v>5218</v>
      </c>
      <c r="D35" s="5">
        <v>4659</v>
      </c>
      <c r="E35" s="5">
        <v>559</v>
      </c>
      <c r="F35" s="10">
        <v>5218</v>
      </c>
      <c r="G35" s="5">
        <v>5521</v>
      </c>
      <c r="H35" s="5">
        <v>-303</v>
      </c>
      <c r="I35" s="10">
        <v>5218</v>
      </c>
      <c r="J35" s="5">
        <v>5524</v>
      </c>
      <c r="K35" s="5">
        <v>-306</v>
      </c>
      <c r="L35" s="10">
        <v>5218</v>
      </c>
      <c r="M35" s="5">
        <v>5614</v>
      </c>
      <c r="N35" s="5">
        <v>-396</v>
      </c>
      <c r="O35" s="10">
        <f>K35+H35+E35</f>
        <v>-50</v>
      </c>
      <c r="P35" s="97">
        <f>O35/(J35+G35+D35+1)</f>
        <v>-3.1836994587710922E-3</v>
      </c>
      <c r="Q35" s="101" t="str">
        <f>" "</f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123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2"/>
        <v xml:space="preserve"> </v>
      </c>
    </row>
    <row r="36" spans="1:22" x14ac:dyDescent="0.2">
      <c r="A36" s="42">
        <v>1377</v>
      </c>
      <c r="B36" s="77" t="s">
        <v>15</v>
      </c>
      <c r="C36" s="10">
        <v>104383</v>
      </c>
      <c r="D36" s="5">
        <v>64326</v>
      </c>
      <c r="E36" s="5">
        <v>40057</v>
      </c>
      <c r="F36" s="10">
        <v>93289</v>
      </c>
      <c r="G36" s="5">
        <v>65703</v>
      </c>
      <c r="H36" s="5">
        <v>27586</v>
      </c>
      <c r="I36" s="10">
        <v>82758</v>
      </c>
      <c r="J36" s="5">
        <v>67991</v>
      </c>
      <c r="K36" s="5">
        <v>14767</v>
      </c>
      <c r="L36" s="10">
        <v>44696</v>
      </c>
      <c r="M36" s="5">
        <v>65214</v>
      </c>
      <c r="N36" s="5">
        <v>-20518</v>
      </c>
      <c r="O36" s="10">
        <f t="shared" si="4"/>
        <v>82410</v>
      </c>
      <c r="P36" s="97">
        <f t="shared" si="5"/>
        <v>0.41616798218370776</v>
      </c>
      <c r="Q36" s="101" t="str">
        <f>" "</f>
        <v xml:space="preserve"> </v>
      </c>
      <c r="R36" s="91" t="str">
        <f>IF($C$4="High Inventory",IF(AND(O36&gt;=Summary!$C$106,P36&gt;=Summary!$C$107),"X"," "),IF(AND(O36&lt;=-Summary!$C$106,P36&lt;=-Summary!$C$107),"X"," "))</f>
        <v>X</v>
      </c>
      <c r="S36" s="123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>X</v>
      </c>
      <c r="U36" s="21" t="str">
        <f>IF($C$4="High Inventory",IF(AND($O36&gt;=0,$P36&gt;=Summary!$C$107),"X"," "),IF(AND($O36&lt;=0,$P36&lt;=-Summary!$C$107),"X"," "))</f>
        <v>X</v>
      </c>
      <c r="V36" t="str">
        <f t="shared" si="2"/>
        <v xml:space="preserve"> </v>
      </c>
    </row>
    <row r="37" spans="1:22" x14ac:dyDescent="0.2">
      <c r="A37" s="42">
        <v>1830</v>
      </c>
      <c r="B37" s="77" t="s">
        <v>15</v>
      </c>
      <c r="C37" s="10">
        <v>0</v>
      </c>
      <c r="D37" s="5">
        <v>1</v>
      </c>
      <c r="E37" s="5">
        <v>-1</v>
      </c>
      <c r="F37" s="10">
        <v>0</v>
      </c>
      <c r="G37" s="5">
        <v>1</v>
      </c>
      <c r="H37" s="5">
        <v>-1</v>
      </c>
      <c r="I37" s="10">
        <v>0</v>
      </c>
      <c r="J37" s="5">
        <v>1</v>
      </c>
      <c r="K37" s="5">
        <v>-1</v>
      </c>
      <c r="L37" s="10">
        <v>0</v>
      </c>
      <c r="M37" s="5">
        <v>1</v>
      </c>
      <c r="N37" s="5">
        <v>-1</v>
      </c>
      <c r="O37" s="10">
        <f t="shared" si="4"/>
        <v>-3</v>
      </c>
      <c r="P37" s="97">
        <f t="shared" si="5"/>
        <v>-0.75</v>
      </c>
      <c r="Q37" s="101" t="str">
        <f>" "</f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123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2"/>
        <v xml:space="preserve"> </v>
      </c>
    </row>
    <row r="38" spans="1:22" x14ac:dyDescent="0.2">
      <c r="A38" s="42">
        <v>1864</v>
      </c>
      <c r="B38" s="77" t="s">
        <v>15</v>
      </c>
      <c r="C38" s="10">
        <v>97661</v>
      </c>
      <c r="D38" s="5">
        <v>68792</v>
      </c>
      <c r="E38" s="5">
        <v>28869</v>
      </c>
      <c r="F38" s="10">
        <v>109228</v>
      </c>
      <c r="G38" s="5">
        <v>134754</v>
      </c>
      <c r="H38" s="5">
        <v>-25526</v>
      </c>
      <c r="I38" s="10">
        <v>217167</v>
      </c>
      <c r="J38" s="5">
        <v>120463</v>
      </c>
      <c r="K38" s="5">
        <v>96704</v>
      </c>
      <c r="L38" s="10">
        <v>81856</v>
      </c>
      <c r="M38" s="5">
        <v>91626</v>
      </c>
      <c r="N38" s="5">
        <v>-9770</v>
      </c>
      <c r="O38" s="10">
        <f>K38+H38+E38</f>
        <v>100047</v>
      </c>
      <c r="P38" s="97">
        <f>O38/(J38+G38+D38+1)</f>
        <v>0.308777506867072</v>
      </c>
      <c r="Q38" s="17" t="s">
        <v>44</v>
      </c>
      <c r="R38" s="91" t="str">
        <f>IF($C$4="High Inventory",IF(AND(O38&gt;=Summary!$C$106,P38&gt;=Summary!$C$107),"X"," "),IF(AND(O38&lt;=-Summary!$C$106,P38&lt;=-Summary!$C$107),"X"," "))</f>
        <v>X</v>
      </c>
      <c r="S38" s="123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>X</v>
      </c>
      <c r="V38" t="str">
        <f t="shared" si="2"/>
        <v xml:space="preserve"> </v>
      </c>
    </row>
    <row r="39" spans="1:22" x14ac:dyDescent="0.2">
      <c r="A39" s="42">
        <v>1922</v>
      </c>
      <c r="B39" s="77" t="s">
        <v>15</v>
      </c>
      <c r="C39" s="10">
        <v>39442</v>
      </c>
      <c r="D39" s="5">
        <v>31088</v>
      </c>
      <c r="E39" s="5">
        <v>8354</v>
      </c>
      <c r="F39" s="10">
        <v>39442</v>
      </c>
      <c r="G39" s="5">
        <v>38755</v>
      </c>
      <c r="H39" s="5">
        <v>687</v>
      </c>
      <c r="I39" s="10">
        <v>23635</v>
      </c>
      <c r="J39" s="5">
        <v>42106</v>
      </c>
      <c r="K39" s="5">
        <v>-18471</v>
      </c>
      <c r="L39" s="10">
        <v>38444</v>
      </c>
      <c r="M39" s="5">
        <v>38999</v>
      </c>
      <c r="N39" s="5">
        <v>-555</v>
      </c>
      <c r="O39" s="10">
        <f>K39+H39+E39</f>
        <v>-9430</v>
      </c>
      <c r="P39" s="97">
        <f>O39/(J39+G39+D39+1)</f>
        <v>-8.4234033050468962E-2</v>
      </c>
      <c r="Q39" s="101" t="str">
        <f>" "</f>
        <v xml:space="preserve"> </v>
      </c>
      <c r="R39" s="91" t="str">
        <f>IF($C$4="High Inventory",IF(AND(O39&gt;=Summary!$C$106,P39&gt;=Summary!$C$107),"X"," "),IF(AND(O39&lt;=-Summary!$C$106,P39&lt;=-Summary!$C$107),"X"," "))</f>
        <v xml:space="preserve"> </v>
      </c>
      <c r="S39" s="123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 xml:space="preserve"> </v>
      </c>
      <c r="U39" s="21" t="str">
        <f>IF($C$4="High Inventory",IF(AND($O39&gt;=0,$P39&gt;=Summary!$C$107),"X"," "),IF(AND($O39&lt;=0,$P39&lt;=-Summary!$C$107),"X"," "))</f>
        <v xml:space="preserve"> </v>
      </c>
      <c r="V39" t="str">
        <f t="shared" si="2"/>
        <v xml:space="preserve"> </v>
      </c>
    </row>
    <row r="40" spans="1:22" x14ac:dyDescent="0.2">
      <c r="A40" s="42">
        <v>1928</v>
      </c>
      <c r="B40" s="77" t="s">
        <v>15</v>
      </c>
      <c r="C40" s="10">
        <v>15689</v>
      </c>
      <c r="D40" s="5">
        <v>13655</v>
      </c>
      <c r="E40" s="5">
        <v>2034</v>
      </c>
      <c r="F40" s="10">
        <v>15689</v>
      </c>
      <c r="G40" s="5">
        <v>16758</v>
      </c>
      <c r="H40" s="5">
        <v>-1069</v>
      </c>
      <c r="I40" s="10">
        <v>21689</v>
      </c>
      <c r="J40" s="5">
        <v>16851</v>
      </c>
      <c r="K40" s="5">
        <v>4838</v>
      </c>
      <c r="L40" s="10">
        <v>16689</v>
      </c>
      <c r="M40" s="5">
        <v>16030</v>
      </c>
      <c r="N40" s="5">
        <v>659</v>
      </c>
      <c r="O40" s="10">
        <f>K40+H40+E40</f>
        <v>5803</v>
      </c>
      <c r="P40" s="97">
        <f>O40/(J40+G40+D40+1)</f>
        <v>0.12277583835819317</v>
      </c>
      <c r="Q40" s="101" t="str">
        <f>" "</f>
        <v xml:space="preserve"> </v>
      </c>
      <c r="R40" s="91" t="str">
        <f>IF($C$4="High Inventory",IF(AND(O40&gt;=Summary!$C$106,P40&gt;=Summary!$C$107),"X"," "),IF(AND(O40&lt;=-Summary!$C$106,P40&lt;=-Summary!$C$107),"X"," "))</f>
        <v>X</v>
      </c>
      <c r="S40" s="123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>X</v>
      </c>
      <c r="U40" s="21" t="str">
        <f>IF($C$4="High Inventory",IF(AND($O40&gt;=0,$P40&gt;=Summary!$C$107),"X"," "),IF(AND($O40&lt;=0,$P40&lt;=-Summary!$C$107),"X"," "))</f>
        <v>X</v>
      </c>
      <c r="V40" t="str">
        <f t="shared" si="2"/>
        <v xml:space="preserve"> </v>
      </c>
    </row>
    <row r="41" spans="1:22" x14ac:dyDescent="0.2">
      <c r="A41" s="42">
        <v>2056</v>
      </c>
      <c r="B41" s="77" t="s">
        <v>15</v>
      </c>
      <c r="C41" s="10">
        <v>64368</v>
      </c>
      <c r="D41" s="5">
        <v>65436</v>
      </c>
      <c r="E41" s="5">
        <v>-1068</v>
      </c>
      <c r="F41" s="10">
        <v>64368</v>
      </c>
      <c r="G41" s="5">
        <v>68478</v>
      </c>
      <c r="H41" s="5">
        <v>-4110</v>
      </c>
      <c r="I41" s="10">
        <v>68453</v>
      </c>
      <c r="J41" s="5">
        <v>74472</v>
      </c>
      <c r="K41" s="5">
        <v>-6019</v>
      </c>
      <c r="L41" s="10">
        <v>80452</v>
      </c>
      <c r="M41" s="5">
        <v>78263</v>
      </c>
      <c r="N41" s="5">
        <v>2189</v>
      </c>
      <c r="O41" s="10">
        <f t="shared" si="4"/>
        <v>-11197</v>
      </c>
      <c r="P41" s="97">
        <f t="shared" si="5"/>
        <v>-5.3731758698959145E-2</v>
      </c>
      <c r="Q41" s="101" t="str">
        <f>" "</f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123" t="str">
        <f>IF(AND(L41-I41&gt;=Summary!$C$110,N41-K41&gt;Summary!$C$110,N41&gt;0),"X"," ")</f>
        <v>X</v>
      </c>
      <c r="T41" s="17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>
        <f t="shared" si="2"/>
        <v>11999</v>
      </c>
    </row>
    <row r="42" spans="1:22" x14ac:dyDescent="0.2">
      <c r="A42" s="42">
        <v>2280</v>
      </c>
      <c r="B42" s="77" t="s">
        <v>15</v>
      </c>
      <c r="C42" s="10">
        <v>5808</v>
      </c>
      <c r="D42" s="5">
        <v>3615</v>
      </c>
      <c r="E42" s="5">
        <v>2193</v>
      </c>
      <c r="F42" s="10">
        <v>5808</v>
      </c>
      <c r="G42" s="5">
        <v>6092</v>
      </c>
      <c r="H42" s="5">
        <v>-284</v>
      </c>
      <c r="I42" s="10">
        <v>5808</v>
      </c>
      <c r="J42" s="5">
        <v>6515</v>
      </c>
      <c r="K42" s="5">
        <v>-707</v>
      </c>
      <c r="L42" s="10">
        <v>5808</v>
      </c>
      <c r="M42" s="5">
        <v>7350</v>
      </c>
      <c r="N42" s="5">
        <v>-1542</v>
      </c>
      <c r="O42" s="10">
        <f t="shared" si="4"/>
        <v>1202</v>
      </c>
      <c r="P42" s="97">
        <f t="shared" si="5"/>
        <v>7.4092338038587197E-2</v>
      </c>
      <c r="Q42" s="101" t="str">
        <f>" "</f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123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6">IF(S42 = "X",L42-I42," ")</f>
        <v xml:space="preserve"> </v>
      </c>
    </row>
    <row r="43" spans="1:22" x14ac:dyDescent="0.2">
      <c r="A43" s="42">
        <v>2584</v>
      </c>
      <c r="B43" s="77" t="s">
        <v>15</v>
      </c>
      <c r="C43" s="10">
        <v>57370</v>
      </c>
      <c r="D43" s="5">
        <v>41709</v>
      </c>
      <c r="E43" s="5">
        <v>15661</v>
      </c>
      <c r="F43" s="10">
        <v>57370</v>
      </c>
      <c r="G43" s="5">
        <v>53802</v>
      </c>
      <c r="H43" s="5">
        <v>3568</v>
      </c>
      <c r="I43" s="10">
        <v>62370</v>
      </c>
      <c r="J43" s="5">
        <v>50667</v>
      </c>
      <c r="K43" s="5">
        <v>11703</v>
      </c>
      <c r="L43" s="10">
        <v>50161</v>
      </c>
      <c r="M43" s="5">
        <v>52097</v>
      </c>
      <c r="N43" s="5">
        <v>-1936</v>
      </c>
      <c r="O43" s="10">
        <f t="shared" si="4"/>
        <v>30932</v>
      </c>
      <c r="P43" s="97">
        <f t="shared" si="5"/>
        <v>0.21160358190985026</v>
      </c>
      <c r="Q43" s="17" t="s">
        <v>44</v>
      </c>
      <c r="R43" s="91" t="str">
        <f>IF($C$4="High Inventory",IF(AND(O43&gt;=Summary!$C$106,P43&gt;=Summary!$C$107),"X"," "),IF(AND(O43&lt;=-Summary!$C$106,P43&lt;=-Summary!$C$107),"X"," "))</f>
        <v>X</v>
      </c>
      <c r="S43" s="123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>X</v>
      </c>
      <c r="U43" s="21" t="str">
        <f>IF($C$4="High Inventory",IF(AND($O43&gt;=0,$P43&gt;=Summary!$C$107),"X"," "),IF(AND($O43&lt;=0,$P43&lt;=-Summary!$C$107),"X"," "))</f>
        <v>X</v>
      </c>
      <c r="V43" t="str">
        <f t="shared" si="6"/>
        <v xml:space="preserve"> </v>
      </c>
    </row>
    <row r="44" spans="1:22" x14ac:dyDescent="0.2">
      <c r="A44" s="42">
        <v>2771</v>
      </c>
      <c r="B44" s="77" t="s">
        <v>15</v>
      </c>
      <c r="C44" s="10">
        <v>38624</v>
      </c>
      <c r="D44" s="5">
        <v>18572</v>
      </c>
      <c r="E44" s="5">
        <v>20052</v>
      </c>
      <c r="F44" s="10">
        <v>38624</v>
      </c>
      <c r="G44" s="5">
        <v>32400</v>
      </c>
      <c r="H44" s="5">
        <v>6224</v>
      </c>
      <c r="I44" s="10">
        <v>50199</v>
      </c>
      <c r="J44" s="5">
        <v>31140</v>
      </c>
      <c r="K44" s="5">
        <v>19059</v>
      </c>
      <c r="L44" s="10">
        <v>25962</v>
      </c>
      <c r="M44" s="5">
        <v>31499</v>
      </c>
      <c r="N44" s="5">
        <v>-5537</v>
      </c>
      <c r="O44" s="10">
        <f>K44+H44+E44</f>
        <v>45335</v>
      </c>
      <c r="P44" s="97">
        <f>O44/(J44+G44+D44+1)</f>
        <v>0.55210502600075506</v>
      </c>
      <c r="Q44" s="17" t="s">
        <v>44</v>
      </c>
      <c r="R44" s="91" t="str">
        <f>IF($C$4="High Inventory",IF(AND(O44&gt;=Summary!$C$106,P44&gt;=Summary!$C$107),"X"," "),IF(AND(O44&lt;=-Summary!$C$106,P44&lt;=-Summary!$C$107),"X"," "))</f>
        <v>X</v>
      </c>
      <c r="S44" s="123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6"/>
        <v xml:space="preserve"> </v>
      </c>
    </row>
    <row r="45" spans="1:22" x14ac:dyDescent="0.2">
      <c r="A45" s="42">
        <v>2832</v>
      </c>
      <c r="B45" s="77" t="s">
        <v>15</v>
      </c>
      <c r="C45" s="10">
        <v>3600</v>
      </c>
      <c r="D45" s="5">
        <v>4626</v>
      </c>
      <c r="E45" s="5">
        <v>-1026</v>
      </c>
      <c r="F45" s="10">
        <v>3600</v>
      </c>
      <c r="G45" s="5">
        <v>6003</v>
      </c>
      <c r="H45" s="5">
        <v>-2403</v>
      </c>
      <c r="I45" s="10">
        <v>3600</v>
      </c>
      <c r="J45" s="5">
        <v>10358</v>
      </c>
      <c r="K45" s="5">
        <v>-6758</v>
      </c>
      <c r="L45" s="10">
        <v>3600</v>
      </c>
      <c r="M45" s="5">
        <v>5923</v>
      </c>
      <c r="N45" s="5">
        <v>-2323</v>
      </c>
      <c r="O45" s="10">
        <f t="shared" si="4"/>
        <v>-10187</v>
      </c>
      <c r="P45" s="97">
        <f>O45/(J45+G45+D45+1)</f>
        <v>-0.4853725938631599</v>
      </c>
      <c r="Q45" s="101" t="str">
        <f>" "</f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123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6"/>
        <v xml:space="preserve"> </v>
      </c>
    </row>
    <row r="46" spans="1:22" x14ac:dyDescent="0.2">
      <c r="A46" s="42">
        <v>2892</v>
      </c>
      <c r="B46" s="77" t="s">
        <v>15</v>
      </c>
      <c r="C46" s="10">
        <v>140</v>
      </c>
      <c r="D46" s="5">
        <v>202</v>
      </c>
      <c r="E46" s="5">
        <v>-62</v>
      </c>
      <c r="F46" s="10">
        <v>140</v>
      </c>
      <c r="G46" s="5">
        <v>208</v>
      </c>
      <c r="H46" s="5">
        <v>-68</v>
      </c>
      <c r="I46" s="10">
        <v>170</v>
      </c>
      <c r="J46" s="5">
        <v>204</v>
      </c>
      <c r="K46" s="5">
        <v>-34</v>
      </c>
      <c r="L46" s="10">
        <v>170</v>
      </c>
      <c r="M46" s="5">
        <v>208</v>
      </c>
      <c r="N46" s="5">
        <v>-38</v>
      </c>
      <c r="O46" s="10">
        <f t="shared" si="4"/>
        <v>-164</v>
      </c>
      <c r="P46" s="97">
        <f t="shared" si="5"/>
        <v>-0.26666666666666666</v>
      </c>
      <c r="Q46" s="101" t="str">
        <f>" "</f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123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6"/>
        <v xml:space="preserve"> </v>
      </c>
    </row>
    <row r="47" spans="1:22" x14ac:dyDescent="0.2">
      <c r="A47" s="42">
        <v>3015</v>
      </c>
      <c r="B47" s="77" t="s">
        <v>15</v>
      </c>
      <c r="C47" s="10">
        <v>17795</v>
      </c>
      <c r="D47" s="5">
        <v>19538</v>
      </c>
      <c r="E47" s="5">
        <v>-1743</v>
      </c>
      <c r="F47" s="10">
        <v>17795</v>
      </c>
      <c r="G47" s="5">
        <v>20691</v>
      </c>
      <c r="H47" s="5">
        <v>-2896</v>
      </c>
      <c r="I47" s="10">
        <v>17795</v>
      </c>
      <c r="J47" s="5">
        <v>19875</v>
      </c>
      <c r="K47" s="5">
        <v>-2080</v>
      </c>
      <c r="L47" s="10">
        <v>19747</v>
      </c>
      <c r="M47" s="5">
        <v>19722</v>
      </c>
      <c r="N47" s="5">
        <v>25</v>
      </c>
      <c r="O47" s="10">
        <f t="shared" si="4"/>
        <v>-6719</v>
      </c>
      <c r="P47" s="97">
        <f t="shared" si="5"/>
        <v>-0.1117877048498461</v>
      </c>
      <c r="Q47" s="101" t="str">
        <f>" "</f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123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6"/>
        <v xml:space="preserve"> </v>
      </c>
    </row>
    <row r="48" spans="1:22" x14ac:dyDescent="0.2">
      <c r="A48" s="42">
        <v>4303</v>
      </c>
      <c r="B48" s="77" t="s">
        <v>15</v>
      </c>
      <c r="C48" s="10">
        <v>4408</v>
      </c>
      <c r="D48" s="5">
        <v>2480</v>
      </c>
      <c r="E48" s="5">
        <v>1928</v>
      </c>
      <c r="F48" s="10">
        <v>4408</v>
      </c>
      <c r="G48" s="5">
        <v>3482</v>
      </c>
      <c r="H48" s="5">
        <v>926</v>
      </c>
      <c r="I48" s="10">
        <v>3782</v>
      </c>
      <c r="J48" s="5">
        <v>3155</v>
      </c>
      <c r="K48" s="5">
        <v>627</v>
      </c>
      <c r="L48" s="10">
        <v>3708</v>
      </c>
      <c r="M48" s="5">
        <v>3240</v>
      </c>
      <c r="N48" s="5">
        <v>468</v>
      </c>
      <c r="O48" s="10">
        <f t="shared" si="4"/>
        <v>3481</v>
      </c>
      <c r="P48" s="97">
        <f t="shared" si="5"/>
        <v>0.3817723184908971</v>
      </c>
      <c r="Q48" s="101" t="str">
        <f>" "</f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123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>X</v>
      </c>
      <c r="V48" t="str">
        <f t="shared" si="6"/>
        <v xml:space="preserve"> </v>
      </c>
    </row>
    <row r="49" spans="1:22" x14ac:dyDescent="0.2">
      <c r="A49" s="42">
        <v>4438</v>
      </c>
      <c r="B49" s="77" t="s">
        <v>15</v>
      </c>
      <c r="C49" s="10">
        <v>48967</v>
      </c>
      <c r="D49" s="5">
        <v>52946</v>
      </c>
      <c r="E49" s="5">
        <v>-3979</v>
      </c>
      <c r="F49" s="10">
        <v>48967</v>
      </c>
      <c r="G49" s="5">
        <v>57190</v>
      </c>
      <c r="H49" s="5">
        <v>-8223</v>
      </c>
      <c r="I49" s="10">
        <v>48967</v>
      </c>
      <c r="J49" s="5">
        <v>57095</v>
      </c>
      <c r="K49" s="5">
        <v>-8128</v>
      </c>
      <c r="L49" s="10">
        <v>58968</v>
      </c>
      <c r="M49" s="5">
        <v>56368</v>
      </c>
      <c r="N49" s="5">
        <v>2600</v>
      </c>
      <c r="O49" s="10">
        <f>K49+H49+E49</f>
        <v>-20330</v>
      </c>
      <c r="P49" s="97">
        <f>O49/(J49+G49+D49+1)</f>
        <v>-0.12156764255644853</v>
      </c>
      <c r="Q49" s="101" t="str">
        <f>" "</f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123" t="str">
        <f>IF(AND(L49-I49&gt;=Summary!$C$110,N49-K49&gt;Summary!$C$110,N49&gt;0),"X"," ")</f>
        <v>X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>
        <f t="shared" si="6"/>
        <v>10001</v>
      </c>
    </row>
    <row r="50" spans="1:22" x14ac:dyDescent="0.2">
      <c r="A50" s="42">
        <v>4760</v>
      </c>
      <c r="B50" s="77" t="s">
        <v>15</v>
      </c>
      <c r="C50" s="10">
        <v>127018</v>
      </c>
      <c r="D50" s="5">
        <v>83982</v>
      </c>
      <c r="E50" s="5">
        <v>43036</v>
      </c>
      <c r="F50" s="10">
        <v>163142</v>
      </c>
      <c r="G50" s="5">
        <v>210819</v>
      </c>
      <c r="H50" s="5">
        <v>-47677</v>
      </c>
      <c r="I50" s="10">
        <v>312065</v>
      </c>
      <c r="J50" s="5">
        <v>267326</v>
      </c>
      <c r="K50" s="5">
        <v>44739</v>
      </c>
      <c r="L50" s="10">
        <v>244429</v>
      </c>
      <c r="M50" s="5">
        <v>264952</v>
      </c>
      <c r="N50" s="5">
        <v>-20523</v>
      </c>
      <c r="O50" s="10">
        <f t="shared" si="4"/>
        <v>40098</v>
      </c>
      <c r="P50" s="97">
        <f t="shared" si="5"/>
        <v>7.1332507898556913E-2</v>
      </c>
      <c r="Q50" s="17" t="s">
        <v>44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123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>X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6"/>
        <v xml:space="preserve"> </v>
      </c>
    </row>
    <row r="51" spans="1:22" x14ac:dyDescent="0.2">
      <c r="A51" s="42">
        <v>6084</v>
      </c>
      <c r="B51" s="77" t="s">
        <v>15</v>
      </c>
      <c r="C51" s="10">
        <v>0</v>
      </c>
      <c r="D51" s="5">
        <v>51</v>
      </c>
      <c r="E51" s="5">
        <v>-51</v>
      </c>
      <c r="F51" s="10">
        <v>0</v>
      </c>
      <c r="G51" s="5">
        <v>14</v>
      </c>
      <c r="H51" s="5">
        <v>-14</v>
      </c>
      <c r="I51" s="10">
        <v>0</v>
      </c>
      <c r="J51" s="5">
        <v>2</v>
      </c>
      <c r="K51" s="5">
        <v>-2</v>
      </c>
      <c r="L51" s="10">
        <v>0</v>
      </c>
      <c r="M51" s="5">
        <v>3</v>
      </c>
      <c r="N51" s="5">
        <v>-3</v>
      </c>
      <c r="O51" s="10">
        <f t="shared" si="4"/>
        <v>-67</v>
      </c>
      <c r="P51" s="97">
        <f>O51/(J51+G51+D51+1)</f>
        <v>-0.98529411764705888</v>
      </c>
      <c r="Q51" s="101" t="str">
        <f t="shared" ref="Q51:Q96" si="7">" "</f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123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6"/>
        <v xml:space="preserve"> </v>
      </c>
    </row>
    <row r="52" spans="1:22" x14ac:dyDescent="0.2">
      <c r="A52" s="42">
        <v>6728</v>
      </c>
      <c r="B52" s="77" t="s">
        <v>15</v>
      </c>
      <c r="C52" s="10">
        <v>18000</v>
      </c>
      <c r="D52" s="5">
        <v>20610</v>
      </c>
      <c r="E52" s="5">
        <v>-2610</v>
      </c>
      <c r="F52" s="10">
        <v>18000</v>
      </c>
      <c r="G52" s="5">
        <v>20803</v>
      </c>
      <c r="H52" s="5">
        <v>-2803</v>
      </c>
      <c r="I52" s="10">
        <v>18000</v>
      </c>
      <c r="J52" s="5">
        <v>20529</v>
      </c>
      <c r="K52" s="5">
        <v>-2529</v>
      </c>
      <c r="L52" s="10">
        <v>18000</v>
      </c>
      <c r="M52" s="5">
        <v>19956</v>
      </c>
      <c r="N52" s="5">
        <v>-1956</v>
      </c>
      <c r="O52" s="10">
        <f t="shared" si="4"/>
        <v>-7942</v>
      </c>
      <c r="P52" s="97">
        <f>O52/(J52+G52+D52+1)</f>
        <v>-0.12821464895145537</v>
      </c>
      <c r="Q52" s="101" t="str">
        <f t="shared" si="7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123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t="str">
        <f t="shared" si="6"/>
        <v xml:space="preserve"> </v>
      </c>
    </row>
    <row r="53" spans="1:22" x14ac:dyDescent="0.2">
      <c r="A53" s="42">
        <v>12296</v>
      </c>
      <c r="B53" s="77" t="s">
        <v>15</v>
      </c>
      <c r="C53" s="10">
        <v>26985</v>
      </c>
      <c r="D53" s="5">
        <v>26094</v>
      </c>
      <c r="E53" s="5">
        <v>891</v>
      </c>
      <c r="F53" s="10">
        <v>26985</v>
      </c>
      <c r="G53" s="5">
        <v>28173</v>
      </c>
      <c r="H53" s="5">
        <v>-1188</v>
      </c>
      <c r="I53" s="10">
        <v>26971</v>
      </c>
      <c r="J53" s="5">
        <v>26809</v>
      </c>
      <c r="K53" s="5">
        <v>162</v>
      </c>
      <c r="L53" s="10">
        <v>26985</v>
      </c>
      <c r="M53" s="5">
        <v>26385</v>
      </c>
      <c r="N53" s="5">
        <v>600</v>
      </c>
      <c r="O53" s="10">
        <f t="shared" si="4"/>
        <v>-135</v>
      </c>
      <c r="P53" s="97">
        <f t="shared" si="5"/>
        <v>-1.6650838092183973E-3</v>
      </c>
      <c r="Q53" s="101" t="str">
        <f t="shared" si="7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123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6"/>
        <v xml:space="preserve"> </v>
      </c>
    </row>
    <row r="54" spans="1:22" x14ac:dyDescent="0.2">
      <c r="A54" s="42">
        <v>21856</v>
      </c>
      <c r="B54" s="77" t="s">
        <v>15</v>
      </c>
      <c r="C54" s="10">
        <v>7740</v>
      </c>
      <c r="D54" s="5">
        <v>5747</v>
      </c>
      <c r="E54" s="5">
        <v>1993</v>
      </c>
      <c r="F54" s="10">
        <v>7740</v>
      </c>
      <c r="G54" s="5">
        <v>6056</v>
      </c>
      <c r="H54" s="5">
        <v>1684</v>
      </c>
      <c r="I54" s="10">
        <v>7740</v>
      </c>
      <c r="J54" s="5">
        <v>3981</v>
      </c>
      <c r="K54" s="5">
        <v>3759</v>
      </c>
      <c r="L54" s="10">
        <v>7740</v>
      </c>
      <c r="M54" s="5">
        <v>4406</v>
      </c>
      <c r="N54" s="5">
        <v>3334</v>
      </c>
      <c r="O54" s="10">
        <f t="shared" ref="O54:O59" si="8">K54+H54+E54</f>
        <v>7436</v>
      </c>
      <c r="P54" s="97">
        <f t="shared" ref="P54:P61" si="9">O54/(J54+G54+D54+1)</f>
        <v>0.47108013937282228</v>
      </c>
      <c r="Q54" s="101" t="str">
        <f t="shared" si="7"/>
        <v xml:space="preserve"> </v>
      </c>
      <c r="R54" s="91" t="str">
        <f>IF($C$4="High Inventory",IF(AND(O54&gt;=Summary!$C$106,P54&gt;=Summary!$C$107),"X"," "),IF(AND(O54&lt;=-Summary!$C$106,P54&lt;=-Summary!$C$107),"X"," "))</f>
        <v>X</v>
      </c>
      <c r="S54" s="123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>X</v>
      </c>
      <c r="U54" s="21" t="str">
        <f>IF($C$4="High Inventory",IF(AND($O54&gt;=0,$P54&gt;=Summary!$C$107),"X"," "),IF(AND($O54&lt;=0,$P54&lt;=-Summary!$C$107),"X"," "))</f>
        <v>X</v>
      </c>
      <c r="V54" t="str">
        <f t="shared" si="6"/>
        <v xml:space="preserve"> </v>
      </c>
    </row>
    <row r="55" spans="1:22" hidden="1" x14ac:dyDescent="0.2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8"/>
        <v>0</v>
      </c>
      <c r="P55" s="97">
        <f t="shared" si="9"/>
        <v>0</v>
      </c>
      <c r="Q55" s="101" t="str">
        <f t="shared" si="7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123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6"/>
        <v xml:space="preserve"> </v>
      </c>
    </row>
    <row r="56" spans="1:22" hidden="1" x14ac:dyDescent="0.2">
      <c r="A56" s="42"/>
      <c r="B56" s="77"/>
      <c r="C56" s="10"/>
      <c r="D56" s="5"/>
      <c r="E56" s="5"/>
      <c r="F56" s="10"/>
      <c r="G56" s="5"/>
      <c r="H56" s="5"/>
      <c r="I56" s="10"/>
      <c r="J56" s="5"/>
      <c r="K56" s="5"/>
      <c r="L56" s="10"/>
      <c r="M56" s="5"/>
      <c r="N56" s="5"/>
      <c r="O56" s="10">
        <f t="shared" si="8"/>
        <v>0</v>
      </c>
      <c r="P56" s="97">
        <f t="shared" si="9"/>
        <v>0</v>
      </c>
      <c r="Q56" s="101" t="str">
        <f t="shared" si="7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123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6"/>
        <v xml:space="preserve"> </v>
      </c>
    </row>
    <row r="57" spans="1:22" hidden="1" x14ac:dyDescent="0.2">
      <c r="A57" s="42"/>
      <c r="B57" s="77"/>
      <c r="C57" s="15">
        <v>36625</v>
      </c>
      <c r="D57" s="5"/>
      <c r="E57" s="5"/>
      <c r="F57" s="15">
        <v>36626</v>
      </c>
      <c r="G57" s="5"/>
      <c r="H57" s="5"/>
      <c r="I57" s="15">
        <v>36627</v>
      </c>
      <c r="J57" s="5"/>
      <c r="K57" s="5"/>
      <c r="L57" s="15">
        <v>36628</v>
      </c>
      <c r="M57" s="5"/>
      <c r="N57" s="5"/>
      <c r="O57" s="10">
        <f t="shared" si="8"/>
        <v>0</v>
      </c>
      <c r="P57" s="97">
        <f t="shared" si="9"/>
        <v>0</v>
      </c>
      <c r="Q57" s="101" t="str">
        <f t="shared" si="7"/>
        <v xml:space="preserve"> </v>
      </c>
      <c r="R57" s="91" t="str">
        <f>IF($C$4="High Inventory",IF(AND(O57&gt;=Summary!$C$106,P57&gt;=Summary!$C$107),"X"," "),IF(AND(O57&lt;=-Summary!$C$106,P57&lt;=-Summary!$C$107),"X"," "))</f>
        <v xml:space="preserve"> </v>
      </c>
      <c r="S57" s="123" t="str">
        <f>IF(AND(L57-I57&gt;=Summary!$C$110,N57-K57&gt;Summary!$C$110,N57&gt;0),"X"," ")</f>
        <v xml:space="preserve"> </v>
      </c>
      <c r="T57" s="17" t="str">
        <f>IF($C$4="High Inventory",IF(AND($O57&gt;=Summary!$C$106,$P57&gt;=0%),"X"," "),IF(AND($O57&lt;=-Summary!$C$106,$P57&lt;=0%),"X"," "))</f>
        <v xml:space="preserve"> </v>
      </c>
      <c r="U57" s="21" t="str">
        <f>IF($C$4="High Inventory",IF(AND($O57&gt;=0,$P57&gt;=Summary!$C$107),"X"," "),IF(AND($O57&lt;=0,$P57&lt;=-Summary!$C$107),"X"," "))</f>
        <v xml:space="preserve"> </v>
      </c>
      <c r="V57" t="str">
        <f t="shared" si="6"/>
        <v xml:space="preserve"> </v>
      </c>
    </row>
    <row r="58" spans="1:22" hidden="1" x14ac:dyDescent="0.2">
      <c r="A58" s="42" t="s">
        <v>6</v>
      </c>
      <c r="B58" s="77" t="s">
        <v>7</v>
      </c>
      <c r="C58" s="10" t="s">
        <v>37</v>
      </c>
      <c r="D58" s="5" t="s">
        <v>40</v>
      </c>
      <c r="E58" s="5" t="s">
        <v>41</v>
      </c>
      <c r="F58" s="10" t="s">
        <v>37</v>
      </c>
      <c r="G58" s="5" t="s">
        <v>40</v>
      </c>
      <c r="H58" s="5" t="s">
        <v>41</v>
      </c>
      <c r="I58" s="10" t="s">
        <v>37</v>
      </c>
      <c r="J58" s="5" t="s">
        <v>40</v>
      </c>
      <c r="K58" s="5" t="s">
        <v>41</v>
      </c>
      <c r="L58" s="10" t="s">
        <v>37</v>
      </c>
      <c r="M58" s="5" t="s">
        <v>40</v>
      </c>
      <c r="N58" s="5" t="s">
        <v>41</v>
      </c>
      <c r="O58" s="10" t="e">
        <f t="shared" si="8"/>
        <v>#VALUE!</v>
      </c>
      <c r="P58" s="97" t="e">
        <f t="shared" si="9"/>
        <v>#VALUE!</v>
      </c>
      <c r="Q58" s="101" t="str">
        <f t="shared" si="7"/>
        <v xml:space="preserve"> </v>
      </c>
      <c r="R58" s="91" t="e">
        <f>IF($C$4="High Inventory",IF(AND(O58&gt;=Summary!$C$106,P58&gt;=Summary!$C$107),"X"," "),IF(AND(O58&lt;=-Summary!$C$106,P58&lt;=-Summary!$C$107),"X"," "))</f>
        <v>#VALUE!</v>
      </c>
      <c r="S58" s="123" t="e">
        <f>IF(AND(L58-I58&gt;=Summary!$C$110,N58-K58&gt;Summary!$C$110,N58&gt;0),"X"," ")</f>
        <v>#VALUE!</v>
      </c>
      <c r="T58" s="17" t="e">
        <f>IF($C$4="High Inventory",IF(AND($O58&gt;=Summary!$C$106,$P58&gt;=0%),"X"," "),IF(AND($O58&lt;=-Summary!$C$106,$P58&lt;=0%),"X"," "))</f>
        <v>#VALUE!</v>
      </c>
      <c r="U58" s="21" t="e">
        <f>IF($C$4="High Inventory",IF(AND($O58&gt;=0,$P58&gt;=Summary!$C$107),"X"," "),IF(AND($O58&lt;=0,$P58&lt;=-Summary!$C$107),"X"," "))</f>
        <v>#VALUE!</v>
      </c>
      <c r="V58" t="e">
        <f t="shared" si="6"/>
        <v>#VALUE!</v>
      </c>
    </row>
    <row r="59" spans="1:22" x14ac:dyDescent="0.2">
      <c r="A59" s="42">
        <v>51</v>
      </c>
      <c r="B59" s="77" t="s">
        <v>17</v>
      </c>
      <c r="C59" s="10">
        <v>14251</v>
      </c>
      <c r="D59" s="5">
        <v>7971</v>
      </c>
      <c r="E59" s="5">
        <v>6280</v>
      </c>
      <c r="F59" s="10">
        <v>14251</v>
      </c>
      <c r="G59" s="5">
        <v>12148</v>
      </c>
      <c r="H59" s="5">
        <v>2103</v>
      </c>
      <c r="I59" s="10">
        <v>14251</v>
      </c>
      <c r="J59" s="5">
        <v>11352</v>
      </c>
      <c r="K59" s="5">
        <v>2899</v>
      </c>
      <c r="L59" s="10">
        <v>14251</v>
      </c>
      <c r="M59" s="5">
        <v>11367</v>
      </c>
      <c r="N59" s="5">
        <v>2884</v>
      </c>
      <c r="O59" s="10">
        <f t="shared" si="8"/>
        <v>11282</v>
      </c>
      <c r="P59" s="97">
        <f t="shared" si="9"/>
        <v>0.35847737671581087</v>
      </c>
      <c r="Q59" s="101" t="str">
        <f t="shared" si="7"/>
        <v xml:space="preserve"> </v>
      </c>
      <c r="R59" s="91" t="str">
        <f>IF($C$4="High Inventory",IF(AND(O59&gt;=Summary!$C$106,P59&gt;=Summary!$C$107),"X"," "),IF(AND(O59&lt;=-Summary!$C$106,P59&lt;=-Summary!$C$107),"X"," "))</f>
        <v>X</v>
      </c>
      <c r="S59" s="123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>X</v>
      </c>
      <c r="U59" s="21" t="str">
        <f>IF($C$4="High Inventory",IF(AND($O59&gt;=0,$P59&gt;=Summary!$C$107),"X"," "),IF(AND($O59&lt;=0,$P59&lt;=-Summary!$C$107),"X"," "))</f>
        <v>X</v>
      </c>
      <c r="V59" t="str">
        <f t="shared" si="6"/>
        <v xml:space="preserve"> </v>
      </c>
    </row>
    <row r="60" spans="1:22" x14ac:dyDescent="0.2">
      <c r="A60" s="42">
        <v>117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ref="O60:O78" si="10">K60+H60+E60</f>
        <v>0</v>
      </c>
      <c r="P60" s="97">
        <f t="shared" si="9"/>
        <v>0</v>
      </c>
      <c r="Q60" s="101" t="str">
        <f t="shared" si="7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123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6"/>
        <v xml:space="preserve"> </v>
      </c>
    </row>
    <row r="61" spans="1:22" x14ac:dyDescent="0.2">
      <c r="A61" s="42">
        <v>127</v>
      </c>
      <c r="B61" s="77" t="s">
        <v>17</v>
      </c>
      <c r="C61" s="10">
        <v>0</v>
      </c>
      <c r="D61" s="5">
        <v>5</v>
      </c>
      <c r="E61" s="5">
        <v>-5</v>
      </c>
      <c r="F61" s="10">
        <v>0</v>
      </c>
      <c r="G61" s="5">
        <v>7</v>
      </c>
      <c r="H61" s="5">
        <v>-7</v>
      </c>
      <c r="I61" s="10">
        <v>0</v>
      </c>
      <c r="J61" s="5">
        <v>5</v>
      </c>
      <c r="K61" s="5">
        <v>-5</v>
      </c>
      <c r="L61" s="10">
        <v>0</v>
      </c>
      <c r="M61" s="5">
        <v>9</v>
      </c>
      <c r="N61" s="5">
        <v>-9</v>
      </c>
      <c r="O61" s="10">
        <f t="shared" si="10"/>
        <v>-17</v>
      </c>
      <c r="P61" s="97">
        <f t="shared" si="9"/>
        <v>-0.94444444444444442</v>
      </c>
      <c r="Q61" s="101" t="str">
        <f t="shared" si="7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123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6"/>
        <v xml:space="preserve"> </v>
      </c>
    </row>
    <row r="62" spans="1:22" x14ac:dyDescent="0.2">
      <c r="A62" s="42">
        <v>128</v>
      </c>
      <c r="B62" s="77" t="s">
        <v>17</v>
      </c>
      <c r="C62" s="10">
        <v>0</v>
      </c>
      <c r="D62" s="5">
        <v>0</v>
      </c>
      <c r="E62" s="5">
        <v>0</v>
      </c>
      <c r="F62" s="10">
        <v>0</v>
      </c>
      <c r="G62" s="5">
        <v>0</v>
      </c>
      <c r="H62" s="5">
        <v>0</v>
      </c>
      <c r="I62" s="10">
        <v>0</v>
      </c>
      <c r="J62" s="5">
        <v>0</v>
      </c>
      <c r="K62" s="5">
        <v>0</v>
      </c>
      <c r="L62" s="10">
        <v>0</v>
      </c>
      <c r="M62" s="5">
        <v>0</v>
      </c>
      <c r="N62" s="5">
        <v>0</v>
      </c>
      <c r="O62" s="10">
        <f t="shared" si="10"/>
        <v>0</v>
      </c>
      <c r="P62" s="97">
        <f t="shared" ref="P62:P78" si="11">O62/(J62+G62+D62+1)</f>
        <v>0</v>
      </c>
      <c r="Q62" s="101" t="str">
        <f t="shared" si="7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123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6"/>
        <v xml:space="preserve"> </v>
      </c>
    </row>
    <row r="63" spans="1:22" x14ac:dyDescent="0.2">
      <c r="A63" s="42">
        <v>129</v>
      </c>
      <c r="B63" s="77" t="s">
        <v>17</v>
      </c>
      <c r="C63" s="10">
        <v>0</v>
      </c>
      <c r="D63" s="5">
        <v>0</v>
      </c>
      <c r="E63" s="5">
        <v>0</v>
      </c>
      <c r="F63" s="10">
        <v>0</v>
      </c>
      <c r="G63" s="5">
        <v>0</v>
      </c>
      <c r="H63" s="5">
        <v>0</v>
      </c>
      <c r="I63" s="10">
        <v>0</v>
      </c>
      <c r="J63" s="5">
        <v>0</v>
      </c>
      <c r="K63" s="5">
        <v>0</v>
      </c>
      <c r="L63" s="10">
        <v>0</v>
      </c>
      <c r="M63" s="5">
        <v>0</v>
      </c>
      <c r="N63" s="5">
        <v>0</v>
      </c>
      <c r="O63" s="10">
        <f t="shared" si="10"/>
        <v>0</v>
      </c>
      <c r="P63" s="97">
        <f t="shared" si="11"/>
        <v>0</v>
      </c>
      <c r="Q63" s="101" t="str">
        <f t="shared" si="7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123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6"/>
        <v xml:space="preserve"> </v>
      </c>
    </row>
    <row r="64" spans="1:22" x14ac:dyDescent="0.2">
      <c r="A64" s="42">
        <v>132</v>
      </c>
      <c r="B64" s="77" t="s">
        <v>17</v>
      </c>
      <c r="C64" s="10">
        <v>0</v>
      </c>
      <c r="D64" s="5">
        <v>0</v>
      </c>
      <c r="E64" s="5">
        <v>0</v>
      </c>
      <c r="F64" s="10">
        <v>0</v>
      </c>
      <c r="G64" s="5">
        <v>195</v>
      </c>
      <c r="H64" s="5">
        <v>-195</v>
      </c>
      <c r="I64" s="10">
        <v>0</v>
      </c>
      <c r="J64" s="5">
        <v>252</v>
      </c>
      <c r="K64" s="5">
        <v>-252</v>
      </c>
      <c r="L64" s="10">
        <v>0</v>
      </c>
      <c r="M64" s="5">
        <v>276</v>
      </c>
      <c r="N64" s="5">
        <v>-276</v>
      </c>
      <c r="O64" s="10">
        <f t="shared" si="10"/>
        <v>-447</v>
      </c>
      <c r="P64" s="97">
        <f t="shared" si="11"/>
        <v>-0.9977678571428571</v>
      </c>
      <c r="Q64" s="101" t="str">
        <f t="shared" si="7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123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6"/>
        <v xml:space="preserve"> </v>
      </c>
    </row>
    <row r="65" spans="1:22" x14ac:dyDescent="0.2">
      <c r="A65" s="42">
        <v>133</v>
      </c>
      <c r="B65" s="77" t="s">
        <v>17</v>
      </c>
      <c r="C65" s="10">
        <v>0</v>
      </c>
      <c r="D65" s="5">
        <v>0</v>
      </c>
      <c r="E65" s="5">
        <v>0</v>
      </c>
      <c r="F65" s="10">
        <v>0</v>
      </c>
      <c r="G65" s="5">
        <v>0</v>
      </c>
      <c r="H65" s="5">
        <v>0</v>
      </c>
      <c r="I65" s="10">
        <v>0</v>
      </c>
      <c r="J65" s="5">
        <v>0</v>
      </c>
      <c r="K65" s="5">
        <v>0</v>
      </c>
      <c r="L65" s="10">
        <v>0</v>
      </c>
      <c r="M65" s="5">
        <v>0</v>
      </c>
      <c r="N65" s="5">
        <v>0</v>
      </c>
      <c r="O65" s="10">
        <f t="shared" si="10"/>
        <v>0</v>
      </c>
      <c r="P65" s="97">
        <f t="shared" si="11"/>
        <v>0</v>
      </c>
      <c r="Q65" s="101" t="str">
        <f t="shared" si="7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123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6"/>
        <v xml:space="preserve"> </v>
      </c>
    </row>
    <row r="66" spans="1:22" x14ac:dyDescent="0.2">
      <c r="A66" s="42">
        <v>194</v>
      </c>
      <c r="B66" s="77" t="s">
        <v>17</v>
      </c>
      <c r="C66" s="10">
        <v>0</v>
      </c>
      <c r="D66" s="5">
        <v>0</v>
      </c>
      <c r="E66" s="5">
        <v>0</v>
      </c>
      <c r="F66" s="10">
        <v>0</v>
      </c>
      <c r="G66" s="5">
        <v>0</v>
      </c>
      <c r="H66" s="5">
        <v>0</v>
      </c>
      <c r="I66" s="10">
        <v>0</v>
      </c>
      <c r="J66" s="5">
        <v>0</v>
      </c>
      <c r="K66" s="5">
        <v>0</v>
      </c>
      <c r="L66" s="10">
        <v>0</v>
      </c>
      <c r="M66" s="5">
        <v>0</v>
      </c>
      <c r="N66" s="5">
        <v>0</v>
      </c>
      <c r="O66" s="10">
        <f t="shared" si="10"/>
        <v>0</v>
      </c>
      <c r="P66" s="97">
        <f t="shared" si="11"/>
        <v>0</v>
      </c>
      <c r="Q66" s="101" t="str">
        <f t="shared" si="7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123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6"/>
        <v xml:space="preserve"> </v>
      </c>
    </row>
    <row r="67" spans="1:22" x14ac:dyDescent="0.2">
      <c r="A67" s="42">
        <v>195</v>
      </c>
      <c r="B67" s="77" t="s">
        <v>17</v>
      </c>
      <c r="C67" s="10">
        <v>0</v>
      </c>
      <c r="D67" s="5">
        <v>0</v>
      </c>
      <c r="E67" s="5">
        <v>0</v>
      </c>
      <c r="F67" s="10">
        <v>0</v>
      </c>
      <c r="G67" s="5">
        <v>0</v>
      </c>
      <c r="H67" s="5">
        <v>0</v>
      </c>
      <c r="I67" s="10">
        <v>0</v>
      </c>
      <c r="J67" s="5">
        <v>0</v>
      </c>
      <c r="K67" s="5">
        <v>0</v>
      </c>
      <c r="L67" s="10">
        <v>0</v>
      </c>
      <c r="M67" s="5">
        <v>0</v>
      </c>
      <c r="N67" s="5">
        <v>0</v>
      </c>
      <c r="O67" s="10">
        <f t="shared" si="10"/>
        <v>0</v>
      </c>
      <c r="P67" s="97">
        <f t="shared" si="11"/>
        <v>0</v>
      </c>
      <c r="Q67" s="101" t="str">
        <f t="shared" si="7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123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6"/>
        <v xml:space="preserve"> </v>
      </c>
    </row>
    <row r="68" spans="1:22" x14ac:dyDescent="0.2">
      <c r="A68" s="42">
        <v>196</v>
      </c>
      <c r="B68" s="77" t="s">
        <v>17</v>
      </c>
      <c r="C68" s="10">
        <v>0</v>
      </c>
      <c r="D68" s="5">
        <v>0</v>
      </c>
      <c r="E68" s="5">
        <v>0</v>
      </c>
      <c r="F68" s="10">
        <v>0</v>
      </c>
      <c r="G68" s="5">
        <v>0</v>
      </c>
      <c r="H68" s="5">
        <v>0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10"/>
        <v>0</v>
      </c>
      <c r="P68" s="97">
        <f t="shared" si="11"/>
        <v>0</v>
      </c>
      <c r="Q68" s="101" t="str">
        <f t="shared" si="7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123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6"/>
        <v xml:space="preserve"> </v>
      </c>
    </row>
    <row r="69" spans="1:22" x14ac:dyDescent="0.2">
      <c r="A69" s="42">
        <v>197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1</v>
      </c>
      <c r="K69" s="5">
        <v>-1</v>
      </c>
      <c r="L69" s="10">
        <v>0</v>
      </c>
      <c r="M69" s="5">
        <v>27</v>
      </c>
      <c r="N69" s="5">
        <v>-27</v>
      </c>
      <c r="O69" s="10">
        <f t="shared" si="10"/>
        <v>-1</v>
      </c>
      <c r="P69" s="97">
        <f t="shared" ref="P69:P77" si="12">O69/(J69+G69+D69+1)</f>
        <v>-0.5</v>
      </c>
      <c r="Q69" s="101" t="str">
        <f t="shared" si="7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123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6"/>
        <v xml:space="preserve"> </v>
      </c>
    </row>
    <row r="70" spans="1:22" x14ac:dyDescent="0.2">
      <c r="A70" s="42">
        <v>282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7">
        <f t="shared" si="12"/>
        <v>0</v>
      </c>
      <c r="Q70" s="101" t="str">
        <f t="shared" si="7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123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6"/>
        <v xml:space="preserve"> </v>
      </c>
    </row>
    <row r="71" spans="1:22" x14ac:dyDescent="0.2">
      <c r="A71" s="42">
        <v>289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>K71+H71+E71</f>
        <v>0</v>
      </c>
      <c r="P71" s="97">
        <f t="shared" si="12"/>
        <v>0</v>
      </c>
      <c r="Q71" s="101" t="str">
        <f t="shared" si="7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123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6"/>
        <v xml:space="preserve"> </v>
      </c>
    </row>
    <row r="72" spans="1:22" x14ac:dyDescent="0.2">
      <c r="A72" s="42">
        <v>476</v>
      </c>
      <c r="B72" s="77" t="s">
        <v>17</v>
      </c>
      <c r="C72" s="10">
        <v>0</v>
      </c>
      <c r="D72" s="5">
        <v>1534</v>
      </c>
      <c r="E72" s="5">
        <v>-1534</v>
      </c>
      <c r="F72" s="10">
        <v>0</v>
      </c>
      <c r="G72" s="5">
        <v>466</v>
      </c>
      <c r="H72" s="5">
        <v>-466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>K72+H72+E72</f>
        <v>-2000</v>
      </c>
      <c r="P72" s="97">
        <f t="shared" si="12"/>
        <v>-0.99950024987506247</v>
      </c>
      <c r="Q72" s="101" t="str">
        <f t="shared" si="7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123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6"/>
        <v xml:space="preserve"> </v>
      </c>
    </row>
    <row r="73" spans="1:22" x14ac:dyDescent="0.2">
      <c r="A73" s="42">
        <v>512</v>
      </c>
      <c r="B73" s="77" t="s">
        <v>17</v>
      </c>
      <c r="C73" s="10">
        <v>800</v>
      </c>
      <c r="D73" s="5">
        <v>288</v>
      </c>
      <c r="E73" s="5">
        <v>512</v>
      </c>
      <c r="F73" s="10">
        <v>800</v>
      </c>
      <c r="G73" s="5">
        <v>417</v>
      </c>
      <c r="H73" s="5">
        <v>383</v>
      </c>
      <c r="I73" s="10">
        <v>2300</v>
      </c>
      <c r="J73" s="5">
        <v>579</v>
      </c>
      <c r="K73" s="5">
        <v>1721</v>
      </c>
      <c r="L73" s="10">
        <v>800</v>
      </c>
      <c r="M73" s="5">
        <v>799</v>
      </c>
      <c r="N73" s="5">
        <v>1</v>
      </c>
      <c r="O73" s="10">
        <f>K73+H73+E73</f>
        <v>2616</v>
      </c>
      <c r="P73" s="97">
        <f t="shared" si="12"/>
        <v>2.0357976653696497</v>
      </c>
      <c r="Q73" s="101" t="str">
        <f t="shared" si="7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123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>X</v>
      </c>
      <c r="V73" t="str">
        <f t="shared" si="6"/>
        <v xml:space="preserve"> </v>
      </c>
    </row>
    <row r="74" spans="1:22" x14ac:dyDescent="0.2">
      <c r="A74" s="42">
        <v>757</v>
      </c>
      <c r="B74" s="77" t="s">
        <v>17</v>
      </c>
      <c r="C74" s="10">
        <v>0</v>
      </c>
      <c r="D74" s="5">
        <v>509</v>
      </c>
      <c r="E74" s="5">
        <v>-509</v>
      </c>
      <c r="F74" s="10">
        <v>0</v>
      </c>
      <c r="G74" s="5">
        <v>477</v>
      </c>
      <c r="H74" s="5">
        <v>-477</v>
      </c>
      <c r="I74" s="10">
        <v>0</v>
      </c>
      <c r="J74" s="5">
        <v>483</v>
      </c>
      <c r="K74" s="5">
        <v>-483</v>
      </c>
      <c r="L74" s="10">
        <v>0</v>
      </c>
      <c r="M74" s="5">
        <v>492</v>
      </c>
      <c r="N74" s="5">
        <v>-492</v>
      </c>
      <c r="O74" s="10">
        <f t="shared" ref="O74:O81" si="13">K74+H74+E74</f>
        <v>-1469</v>
      </c>
      <c r="P74" s="97">
        <f t="shared" si="12"/>
        <v>-0.99931972789115642</v>
      </c>
      <c r="Q74" s="101" t="str">
        <f t="shared" si="7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123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96" si="14">IF(S74 = "X",L74-I74," ")</f>
        <v xml:space="preserve"> </v>
      </c>
    </row>
    <row r="75" spans="1:22" x14ac:dyDescent="0.2">
      <c r="A75" s="42">
        <v>761</v>
      </c>
      <c r="B75" s="77" t="s">
        <v>17</v>
      </c>
      <c r="C75" s="10">
        <v>0</v>
      </c>
      <c r="D75" s="5">
        <v>8</v>
      </c>
      <c r="E75" s="5">
        <v>-8</v>
      </c>
      <c r="F75" s="10">
        <v>0</v>
      </c>
      <c r="G75" s="5">
        <v>8</v>
      </c>
      <c r="H75" s="5">
        <v>-8</v>
      </c>
      <c r="I75" s="10">
        <v>0</v>
      </c>
      <c r="J75" s="5">
        <v>8</v>
      </c>
      <c r="K75" s="5">
        <v>-8</v>
      </c>
      <c r="L75" s="10">
        <v>0</v>
      </c>
      <c r="M75" s="5">
        <v>8</v>
      </c>
      <c r="N75" s="5">
        <v>-8</v>
      </c>
      <c r="O75" s="10">
        <f>K75+H75+E75</f>
        <v>-24</v>
      </c>
      <c r="P75" s="97">
        <f t="shared" si="12"/>
        <v>-0.96</v>
      </c>
      <c r="Q75" s="101" t="str">
        <f t="shared" si="7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123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4"/>
        <v xml:space="preserve"> </v>
      </c>
    </row>
    <row r="76" spans="1:22" x14ac:dyDescent="0.2">
      <c r="A76" s="42">
        <v>764</v>
      </c>
      <c r="B76" s="77" t="s">
        <v>17</v>
      </c>
      <c r="C76" s="10">
        <v>196</v>
      </c>
      <c r="D76" s="5">
        <v>227</v>
      </c>
      <c r="E76" s="5">
        <v>-31</v>
      </c>
      <c r="F76" s="10">
        <v>196</v>
      </c>
      <c r="G76" s="5">
        <v>209</v>
      </c>
      <c r="H76" s="5">
        <v>-13</v>
      </c>
      <c r="I76" s="10">
        <v>196</v>
      </c>
      <c r="J76" s="5">
        <v>228</v>
      </c>
      <c r="K76" s="5">
        <v>-32</v>
      </c>
      <c r="L76" s="10">
        <v>196</v>
      </c>
      <c r="M76" s="5">
        <v>164</v>
      </c>
      <c r="N76" s="5">
        <v>32</v>
      </c>
      <c r="O76" s="10">
        <f t="shared" si="13"/>
        <v>-76</v>
      </c>
      <c r="P76" s="97">
        <f t="shared" si="12"/>
        <v>-0.11428571428571428</v>
      </c>
      <c r="Q76" s="101" t="str">
        <f t="shared" si="7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123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4"/>
        <v xml:space="preserve"> </v>
      </c>
    </row>
    <row r="77" spans="1:22" x14ac:dyDescent="0.2">
      <c r="A77" s="42">
        <v>765</v>
      </c>
      <c r="B77" s="77" t="s">
        <v>17</v>
      </c>
      <c r="C77" s="10">
        <v>7271</v>
      </c>
      <c r="D77" s="5">
        <v>7529</v>
      </c>
      <c r="E77" s="5">
        <v>-258</v>
      </c>
      <c r="F77" s="10">
        <v>7271</v>
      </c>
      <c r="G77" s="5">
        <v>7431</v>
      </c>
      <c r="H77" s="5">
        <v>-160</v>
      </c>
      <c r="I77" s="10">
        <v>7271</v>
      </c>
      <c r="J77" s="5">
        <v>7489</v>
      </c>
      <c r="K77" s="5">
        <v>-218</v>
      </c>
      <c r="L77" s="10">
        <v>7271</v>
      </c>
      <c r="M77" s="5">
        <v>7199</v>
      </c>
      <c r="N77" s="5">
        <v>72</v>
      </c>
      <c r="O77" s="10">
        <f t="shared" si="13"/>
        <v>-636</v>
      </c>
      <c r="P77" s="97">
        <f t="shared" si="12"/>
        <v>-2.8329621380846326E-2</v>
      </c>
      <c r="Q77" s="101" t="str">
        <f t="shared" si="7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123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 xml:space="preserve"> </v>
      </c>
      <c r="U77" s="21" t="str">
        <f>IF($C$4="High Inventory",IF(AND($O77&gt;=0,$P77&gt;=Summary!$C$107),"X"," "),IF(AND($O77&lt;=0,$P77&lt;=-Summary!$C$107),"X"," "))</f>
        <v xml:space="preserve"> </v>
      </c>
      <c r="V77" t="str">
        <f t="shared" si="14"/>
        <v xml:space="preserve"> </v>
      </c>
    </row>
    <row r="78" spans="1:22" x14ac:dyDescent="0.2">
      <c r="A78" s="42">
        <v>779</v>
      </c>
      <c r="B78" s="77" t="s">
        <v>17</v>
      </c>
      <c r="C78" s="10">
        <v>800</v>
      </c>
      <c r="D78" s="5">
        <v>290</v>
      </c>
      <c r="E78" s="5">
        <v>510</v>
      </c>
      <c r="F78" s="10">
        <v>800</v>
      </c>
      <c r="G78" s="5">
        <v>571</v>
      </c>
      <c r="H78" s="5">
        <v>229</v>
      </c>
      <c r="I78" s="10">
        <v>800</v>
      </c>
      <c r="J78" s="5">
        <v>1275</v>
      </c>
      <c r="K78" s="5">
        <v>-475</v>
      </c>
      <c r="L78" s="10">
        <v>800</v>
      </c>
      <c r="M78" s="5">
        <v>1266</v>
      </c>
      <c r="N78" s="5">
        <v>-466</v>
      </c>
      <c r="O78" s="10">
        <f t="shared" si="10"/>
        <v>264</v>
      </c>
      <c r="P78" s="97">
        <f t="shared" si="11"/>
        <v>0.12353766963032288</v>
      </c>
      <c r="Q78" s="101" t="str">
        <f t="shared" si="7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123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>X</v>
      </c>
      <c r="V78" t="str">
        <f t="shared" si="14"/>
        <v xml:space="preserve"> </v>
      </c>
    </row>
    <row r="79" spans="1:22" x14ac:dyDescent="0.2">
      <c r="A79" s="42">
        <v>899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>K79+H79+E79</f>
        <v>0</v>
      </c>
      <c r="P79" s="97">
        <f>O79/(J79+G79+D79+1)</f>
        <v>0</v>
      </c>
      <c r="Q79" s="101" t="str">
        <f t="shared" si="7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123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4"/>
        <v xml:space="preserve"> </v>
      </c>
    </row>
    <row r="80" spans="1:22" x14ac:dyDescent="0.2">
      <c r="A80" s="42">
        <v>928</v>
      </c>
      <c r="B80" s="77" t="s">
        <v>17</v>
      </c>
      <c r="C80" s="10">
        <v>190</v>
      </c>
      <c r="D80" s="5">
        <v>199</v>
      </c>
      <c r="E80" s="5">
        <v>-9</v>
      </c>
      <c r="F80" s="10">
        <v>190</v>
      </c>
      <c r="G80" s="5">
        <v>199</v>
      </c>
      <c r="H80" s="5">
        <v>-9</v>
      </c>
      <c r="I80" s="10">
        <v>190</v>
      </c>
      <c r="J80" s="5">
        <v>196</v>
      </c>
      <c r="K80" s="5">
        <v>-6</v>
      </c>
      <c r="L80" s="10">
        <v>190</v>
      </c>
      <c r="M80" s="5">
        <v>194</v>
      </c>
      <c r="N80" s="5">
        <v>-4</v>
      </c>
      <c r="O80" s="10">
        <f>K80+H80+E80</f>
        <v>-24</v>
      </c>
      <c r="P80" s="97">
        <f>O80/(J80+G80+D80+1)</f>
        <v>-4.0336134453781515E-2</v>
      </c>
      <c r="Q80" s="101" t="str">
        <f t="shared" si="7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123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4"/>
        <v xml:space="preserve"> </v>
      </c>
    </row>
    <row r="81" spans="1:22" x14ac:dyDescent="0.2">
      <c r="A81" s="42">
        <v>997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13"/>
        <v>0</v>
      </c>
      <c r="P81" s="97">
        <f t="shared" ref="P81:P88" si="15">O81/(J81+G81+D81+1)</f>
        <v>0</v>
      </c>
      <c r="Q81" s="101" t="str">
        <f t="shared" si="7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123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4"/>
        <v xml:space="preserve"> </v>
      </c>
    </row>
    <row r="82" spans="1:22" x14ac:dyDescent="0.2">
      <c r="A82" s="42">
        <v>5342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ref="O82:O92" si="16">K82+H82+E82</f>
        <v>0</v>
      </c>
      <c r="P82" s="97">
        <f t="shared" si="15"/>
        <v>0</v>
      </c>
      <c r="Q82" s="101" t="str">
        <f t="shared" si="7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123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4"/>
        <v xml:space="preserve"> </v>
      </c>
    </row>
    <row r="83" spans="1:22" x14ac:dyDescent="0.2">
      <c r="A83" s="42">
        <v>5379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 t="shared" si="16"/>
        <v>0</v>
      </c>
      <c r="P83" s="97">
        <f t="shared" si="15"/>
        <v>0</v>
      </c>
      <c r="Q83" s="101" t="str">
        <f t="shared" si="7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123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4"/>
        <v xml:space="preserve"> </v>
      </c>
    </row>
    <row r="84" spans="1:22" x14ac:dyDescent="0.2">
      <c r="A84" s="42">
        <v>7088</v>
      </c>
      <c r="B84" s="77" t="s">
        <v>17</v>
      </c>
      <c r="C84" s="10">
        <v>0</v>
      </c>
      <c r="D84" s="5">
        <v>38</v>
      </c>
      <c r="E84" s="5">
        <v>-38</v>
      </c>
      <c r="F84" s="10">
        <v>0</v>
      </c>
      <c r="G84" s="5">
        <v>55</v>
      </c>
      <c r="H84" s="5">
        <v>-55</v>
      </c>
      <c r="I84" s="10">
        <v>0</v>
      </c>
      <c r="J84" s="5">
        <v>37</v>
      </c>
      <c r="K84" s="5">
        <v>-37</v>
      </c>
      <c r="L84" s="10">
        <v>0</v>
      </c>
      <c r="M84" s="5">
        <v>30</v>
      </c>
      <c r="N84" s="5">
        <v>-30</v>
      </c>
      <c r="O84" s="10">
        <f t="shared" si="16"/>
        <v>-130</v>
      </c>
      <c r="P84" s="97">
        <f t="shared" si="15"/>
        <v>-0.99236641221374045</v>
      </c>
      <c r="Q84" s="101" t="str">
        <f t="shared" si="7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123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4"/>
        <v xml:space="preserve"> </v>
      </c>
    </row>
    <row r="85" spans="1:22" x14ac:dyDescent="0.2">
      <c r="A85" s="42">
        <v>7602</v>
      </c>
      <c r="B85" s="77" t="s">
        <v>17</v>
      </c>
      <c r="C85" s="10">
        <v>32974</v>
      </c>
      <c r="D85" s="5">
        <v>30849</v>
      </c>
      <c r="E85" s="5">
        <v>2125</v>
      </c>
      <c r="F85" s="10">
        <v>32974</v>
      </c>
      <c r="G85" s="5">
        <v>31496</v>
      </c>
      <c r="H85" s="5">
        <v>1478</v>
      </c>
      <c r="I85" s="10">
        <v>30685</v>
      </c>
      <c r="J85" s="5">
        <v>38737</v>
      </c>
      <c r="K85" s="5">
        <v>-8052</v>
      </c>
      <c r="L85" s="10">
        <v>26468</v>
      </c>
      <c r="M85" s="5">
        <v>36716</v>
      </c>
      <c r="N85" s="5">
        <v>-10248</v>
      </c>
      <c r="O85" s="10">
        <f t="shared" si="16"/>
        <v>-4449</v>
      </c>
      <c r="P85" s="97">
        <f t="shared" si="15"/>
        <v>-4.4013335575715004E-2</v>
      </c>
      <c r="Q85" s="101" t="str">
        <f t="shared" si="7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123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4"/>
        <v xml:space="preserve"> </v>
      </c>
    </row>
    <row r="86" spans="1:22" x14ac:dyDescent="0.2">
      <c r="A86" s="42">
        <v>7604</v>
      </c>
      <c r="B86" s="77" t="s">
        <v>17</v>
      </c>
      <c r="C86" s="10">
        <v>69542</v>
      </c>
      <c r="D86" s="5">
        <v>75831</v>
      </c>
      <c r="E86" s="5">
        <v>-6289</v>
      </c>
      <c r="F86" s="10">
        <v>69542</v>
      </c>
      <c r="G86" s="5">
        <v>83705</v>
      </c>
      <c r="H86" s="5">
        <v>-14163</v>
      </c>
      <c r="I86" s="10">
        <v>64479</v>
      </c>
      <c r="J86" s="5">
        <v>70045</v>
      </c>
      <c r="K86" s="5">
        <v>-5566</v>
      </c>
      <c r="L86" s="10">
        <v>69540</v>
      </c>
      <c r="M86" s="5">
        <v>67970</v>
      </c>
      <c r="N86" s="5">
        <v>1570</v>
      </c>
      <c r="O86" s="10">
        <f t="shared" si="16"/>
        <v>-26018</v>
      </c>
      <c r="P86" s="97">
        <f t="shared" si="15"/>
        <v>-0.11332769990678712</v>
      </c>
      <c r="Q86" s="101" t="str">
        <f t="shared" si="7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123" t="str">
        <f>IF(AND(L86-I86&gt;=Summary!$C$110,N86-K86&gt;Summary!$C$110,N86&gt;0),"X"," ")</f>
        <v>X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>
        <f t="shared" si="14"/>
        <v>5061</v>
      </c>
    </row>
    <row r="87" spans="1:22" x14ac:dyDescent="0.2">
      <c r="A87" s="42">
        <v>8576</v>
      </c>
      <c r="B87" s="77" t="s">
        <v>17</v>
      </c>
      <c r="C87" s="10">
        <v>0</v>
      </c>
      <c r="D87" s="5">
        <v>0</v>
      </c>
      <c r="E87" s="5">
        <v>0</v>
      </c>
      <c r="F87" s="10">
        <v>0</v>
      </c>
      <c r="G87" s="5">
        <v>0</v>
      </c>
      <c r="H87" s="5">
        <v>0</v>
      </c>
      <c r="I87" s="10">
        <v>0</v>
      </c>
      <c r="J87" s="5">
        <v>0</v>
      </c>
      <c r="K87" s="5">
        <v>0</v>
      </c>
      <c r="L87" s="10">
        <v>0</v>
      </c>
      <c r="M87" s="5">
        <v>0</v>
      </c>
      <c r="N87" s="5">
        <v>0</v>
      </c>
      <c r="O87" s="10">
        <f t="shared" si="16"/>
        <v>0</v>
      </c>
      <c r="P87" s="97">
        <f t="shared" si="15"/>
        <v>0</v>
      </c>
      <c r="Q87" s="101" t="str">
        <f t="shared" si="7"/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123" t="str">
        <f>IF(AND(L87-I87&gt;=Summary!$C$110,N87-K87&gt;Summary!$C$110,N87&gt;0),"X"," ")</f>
        <v xml:space="preserve"> </v>
      </c>
      <c r="T87" s="17" t="str">
        <f>IF($C$4="High Inventory",IF(AND($O87&gt;=Summary!$C$106,$P87&gt;=0%),"X"," "),IF(AND($O87&lt;=-Summary!$C$106,$P87&lt;=0%),"X"," "))</f>
        <v xml:space="preserve"> </v>
      </c>
      <c r="U87" s="21" t="str">
        <f>IF($C$4="High Inventory",IF(AND($O87&gt;=0,$P87&gt;=Summary!$C$107),"X"," "),IF(AND($O87&lt;=0,$P87&lt;=-Summary!$C$107),"X"," "))</f>
        <v xml:space="preserve"> </v>
      </c>
      <c r="V87" t="str">
        <f t="shared" si="14"/>
        <v xml:space="preserve"> </v>
      </c>
    </row>
    <row r="88" spans="1:22" x14ac:dyDescent="0.2">
      <c r="A88" s="42">
        <v>8577</v>
      </c>
      <c r="B88" s="77" t="s">
        <v>17</v>
      </c>
      <c r="C88" s="10">
        <v>0</v>
      </c>
      <c r="D88" s="5">
        <v>0</v>
      </c>
      <c r="E88" s="5">
        <v>0</v>
      </c>
      <c r="F88" s="10">
        <v>0</v>
      </c>
      <c r="G88" s="5">
        <v>0</v>
      </c>
      <c r="H88" s="5">
        <v>0</v>
      </c>
      <c r="I88" s="10">
        <v>0</v>
      </c>
      <c r="J88" s="5">
        <v>0</v>
      </c>
      <c r="K88" s="5">
        <v>0</v>
      </c>
      <c r="L88" s="10">
        <v>0</v>
      </c>
      <c r="M88" s="5">
        <v>0</v>
      </c>
      <c r="N88" s="5">
        <v>0</v>
      </c>
      <c r="O88" s="10">
        <f t="shared" si="16"/>
        <v>0</v>
      </c>
      <c r="P88" s="97">
        <f t="shared" si="15"/>
        <v>0</v>
      </c>
      <c r="Q88" s="101" t="str">
        <f t="shared" si="7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123" t="str">
        <f>IF(AND(L88-I88&gt;=Summary!$C$110,N88-K88&gt;Summary!$C$110,N88&gt;0),"X"," ")</f>
        <v xml:space="preserve"> </v>
      </c>
      <c r="T88" s="17" t="str">
        <f>IF($C$4="High Inventory",IF(AND($O88&gt;=Summary!$C$106,$P88&gt;=0%),"X"," "),IF(AND($O88&lt;=-Summary!$C$106,$P88&lt;=0%),"X"," "))</f>
        <v xml:space="preserve"> </v>
      </c>
      <c r="U88" s="21" t="str">
        <f>IF($C$4="High Inventory",IF(AND($O88&gt;=0,$P88&gt;=Summary!$C$107),"X"," "),IF(AND($O88&lt;=0,$P88&lt;=-Summary!$C$107),"X"," "))</f>
        <v xml:space="preserve"> </v>
      </c>
      <c r="V88" t="str">
        <f t="shared" si="14"/>
        <v xml:space="preserve"> </v>
      </c>
    </row>
    <row r="89" spans="1:22" x14ac:dyDescent="0.2">
      <c r="A89" s="42">
        <v>8578</v>
      </c>
      <c r="B89" s="77" t="s">
        <v>17</v>
      </c>
      <c r="C89" s="10">
        <v>0</v>
      </c>
      <c r="D89" s="5">
        <v>0</v>
      </c>
      <c r="E89" s="5">
        <v>0</v>
      </c>
      <c r="F89" s="10">
        <v>0</v>
      </c>
      <c r="G89" s="5">
        <v>0</v>
      </c>
      <c r="H89" s="5">
        <v>0</v>
      </c>
      <c r="I89" s="10">
        <v>0</v>
      </c>
      <c r="J89" s="5">
        <v>0</v>
      </c>
      <c r="K89" s="5">
        <v>0</v>
      </c>
      <c r="L89" s="10">
        <v>0</v>
      </c>
      <c r="M89" s="5">
        <v>0</v>
      </c>
      <c r="N89" s="5">
        <v>0</v>
      </c>
      <c r="O89" s="10">
        <f t="shared" si="16"/>
        <v>0</v>
      </c>
      <c r="P89" s="97">
        <f t="shared" ref="P89:P96" si="17">O89/(J89+G89+D89+1)</f>
        <v>0</v>
      </c>
      <c r="Q89" s="101" t="str">
        <f t="shared" si="7"/>
        <v xml:space="preserve"> </v>
      </c>
      <c r="R89" s="91" t="str">
        <f>IF($C$4="High Inventory",IF(AND(O89&gt;=Summary!$C$106,P89&gt;=Summary!$C$107),"X"," "),IF(AND(O89&lt;=-Summary!$C$106,P89&lt;=-Summary!$C$107),"X"," "))</f>
        <v xml:space="preserve"> </v>
      </c>
      <c r="S89" s="123" t="str">
        <f>IF(AND(L89-I89&gt;=Summary!$C$110,N89-K89&gt;Summary!$C$110,N89&gt;0),"X"," ")</f>
        <v xml:space="preserve"> </v>
      </c>
      <c r="T89" s="17" t="str">
        <f>IF($C$4="High Inventory",IF(AND($O89&gt;=Summary!$C$106,$P89&gt;=0%),"X"," "),IF(AND($O89&lt;=-Summary!$C$106,$P89&lt;=0%),"X"," "))</f>
        <v xml:space="preserve"> </v>
      </c>
      <c r="U89" s="21" t="str">
        <f>IF($C$4="High Inventory",IF(AND($O89&gt;=0,$P89&gt;=Summary!$C$107),"X"," "),IF(AND($O89&lt;=0,$P89&lt;=-Summary!$C$107),"X"," "))</f>
        <v xml:space="preserve"> </v>
      </c>
      <c r="V89" t="str">
        <f t="shared" si="14"/>
        <v xml:space="preserve"> </v>
      </c>
    </row>
    <row r="90" spans="1:22" x14ac:dyDescent="0.2">
      <c r="A90" s="42">
        <v>8579</v>
      </c>
      <c r="B90" s="77" t="s">
        <v>17</v>
      </c>
      <c r="C90" s="10">
        <v>0</v>
      </c>
      <c r="D90" s="5">
        <v>0</v>
      </c>
      <c r="E90" s="5">
        <v>0</v>
      </c>
      <c r="F90" s="10">
        <v>0</v>
      </c>
      <c r="G90" s="5">
        <v>0</v>
      </c>
      <c r="H90" s="5">
        <v>0</v>
      </c>
      <c r="I90" s="10">
        <v>0</v>
      </c>
      <c r="J90" s="5">
        <v>0</v>
      </c>
      <c r="K90" s="5">
        <v>0</v>
      </c>
      <c r="L90" s="10">
        <v>0</v>
      </c>
      <c r="M90" s="5">
        <v>0</v>
      </c>
      <c r="N90" s="5">
        <v>0</v>
      </c>
      <c r="O90" s="10">
        <f t="shared" si="16"/>
        <v>0</v>
      </c>
      <c r="P90" s="97">
        <f t="shared" si="17"/>
        <v>0</v>
      </c>
      <c r="Q90" s="101" t="str">
        <f t="shared" si="7"/>
        <v xml:space="preserve"> </v>
      </c>
      <c r="R90" s="91" t="str">
        <f>IF($C$4="High Inventory",IF(AND(O90&gt;=Summary!$C$106,P90&gt;=Summary!$C$107),"X"," "),IF(AND(O90&lt;=-Summary!$C$106,P90&lt;=-Summary!$C$107),"X"," "))</f>
        <v xml:space="preserve"> </v>
      </c>
      <c r="S90" s="123" t="str">
        <f>IF(AND(L90-I90&gt;=Summary!$C$110,N90-K90&gt;Summary!$C$110,N90&gt;0),"X"," ")</f>
        <v xml:space="preserve"> </v>
      </c>
      <c r="T90" s="17" t="str">
        <f>IF($C$4="High Inventory",IF(AND($O90&gt;=Summary!$C$106,$P90&gt;=0%),"X"," "),IF(AND($O90&lt;=-Summary!$C$106,$P90&lt;=0%),"X"," "))</f>
        <v xml:space="preserve"> </v>
      </c>
      <c r="U90" s="21" t="str">
        <f>IF($C$4="High Inventory",IF(AND($O90&gt;=0,$P90&gt;=Summary!$C$107),"X"," "),IF(AND($O90&lt;=0,$P90&lt;=-Summary!$C$107),"X"," "))</f>
        <v xml:space="preserve"> </v>
      </c>
      <c r="V90" t="str">
        <f t="shared" si="14"/>
        <v xml:space="preserve"> </v>
      </c>
    </row>
    <row r="91" spans="1:22" x14ac:dyDescent="0.2">
      <c r="A91" s="42">
        <v>8580</v>
      </c>
      <c r="B91" s="77" t="s">
        <v>17</v>
      </c>
      <c r="C91" s="10">
        <v>0</v>
      </c>
      <c r="D91" s="5">
        <v>0</v>
      </c>
      <c r="E91" s="5">
        <v>0</v>
      </c>
      <c r="F91" s="10">
        <v>0</v>
      </c>
      <c r="G91" s="5">
        <v>0</v>
      </c>
      <c r="H91" s="5">
        <v>0</v>
      </c>
      <c r="I91" s="10">
        <v>0</v>
      </c>
      <c r="J91" s="5">
        <v>0</v>
      </c>
      <c r="K91" s="5">
        <v>0</v>
      </c>
      <c r="L91" s="10">
        <v>0</v>
      </c>
      <c r="M91" s="5">
        <v>0</v>
      </c>
      <c r="N91" s="5">
        <v>0</v>
      </c>
      <c r="O91" s="10">
        <f t="shared" si="16"/>
        <v>0</v>
      </c>
      <c r="P91" s="97">
        <f t="shared" si="17"/>
        <v>0</v>
      </c>
      <c r="Q91" s="101" t="str">
        <f t="shared" si="7"/>
        <v xml:space="preserve"> </v>
      </c>
      <c r="R91" s="91" t="str">
        <f>IF($C$4="High Inventory",IF(AND(O91&gt;=Summary!$C$106,P91&gt;=Summary!$C$107),"X"," "),IF(AND(O91&lt;=-Summary!$C$106,P91&lt;=-Summary!$C$107),"X"," "))</f>
        <v xml:space="preserve"> </v>
      </c>
      <c r="S91" s="123" t="str">
        <f>IF(AND(L91-I91&gt;=Summary!$C$110,N91-K91&gt;Summary!$C$110,N91&gt;0),"X"," ")</f>
        <v xml:space="preserve"> </v>
      </c>
      <c r="T91" s="17" t="str">
        <f>IF($C$4="High Inventory",IF(AND($O91&gt;=Summary!$C$106,$P91&gt;=0%),"X"," "),IF(AND($O91&lt;=-Summary!$C$106,$P91&lt;=0%),"X"," "))</f>
        <v xml:space="preserve"> </v>
      </c>
      <c r="U91" s="21" t="str">
        <f>IF($C$4="High Inventory",IF(AND($O91&gt;=0,$P91&gt;=Summary!$C$107),"X"," "),IF(AND($O91&lt;=0,$P91&lt;=-Summary!$C$107),"X"," "))</f>
        <v xml:space="preserve"> </v>
      </c>
      <c r="V91" t="str">
        <f t="shared" si="14"/>
        <v xml:space="preserve"> </v>
      </c>
    </row>
    <row r="92" spans="1:22" x14ac:dyDescent="0.2">
      <c r="A92" s="42">
        <v>13636</v>
      </c>
      <c r="B92" s="77" t="s">
        <v>17</v>
      </c>
      <c r="C92" s="10">
        <v>0</v>
      </c>
      <c r="D92" s="5">
        <v>128</v>
      </c>
      <c r="E92" s="5">
        <v>-128</v>
      </c>
      <c r="F92" s="10">
        <v>0</v>
      </c>
      <c r="G92" s="5">
        <v>114</v>
      </c>
      <c r="H92" s="5">
        <v>-114</v>
      </c>
      <c r="I92" s="10">
        <v>0</v>
      </c>
      <c r="J92" s="5">
        <v>138</v>
      </c>
      <c r="K92" s="5">
        <v>-138</v>
      </c>
      <c r="L92" s="10">
        <v>0</v>
      </c>
      <c r="M92" s="5">
        <v>110</v>
      </c>
      <c r="N92" s="5">
        <v>-110</v>
      </c>
      <c r="O92" s="10">
        <f t="shared" si="16"/>
        <v>-380</v>
      </c>
      <c r="P92" s="97">
        <f t="shared" si="17"/>
        <v>-0.99737532808398954</v>
      </c>
      <c r="Q92" s="101" t="str">
        <f t="shared" si="7"/>
        <v xml:space="preserve"> </v>
      </c>
      <c r="R92" s="91" t="str">
        <f>IF($C$4="High Inventory",IF(AND(O92&gt;=Summary!$C$106,P92&gt;=Summary!$C$107),"X"," "),IF(AND(O92&lt;=-Summary!$C$106,P92&lt;=-Summary!$C$107),"X"," "))</f>
        <v xml:space="preserve"> </v>
      </c>
      <c r="S92" s="123" t="str">
        <f>IF(AND(L92-I92&gt;=Summary!$C$110,N92-K92&gt;Summary!$C$110,N92&gt;0),"X"," ")</f>
        <v xml:space="preserve"> </v>
      </c>
      <c r="T92" s="17" t="str">
        <f>IF($C$4="High Inventory",IF(AND($O92&gt;=Summary!$C$106,$P92&gt;=0%),"X"," "),IF(AND($O92&lt;=-Summary!$C$106,$P92&lt;=0%),"X"," "))</f>
        <v xml:space="preserve"> </v>
      </c>
      <c r="U92" s="21" t="str">
        <f>IF($C$4="High Inventory",IF(AND($O92&gt;=0,$P92&gt;=Summary!$C$107),"X"," "),IF(AND($O92&lt;=0,$P92&lt;=-Summary!$C$107),"X"," "))</f>
        <v xml:space="preserve"> </v>
      </c>
      <c r="V92" t="str">
        <f t="shared" si="14"/>
        <v xml:space="preserve"> </v>
      </c>
    </row>
    <row r="93" spans="1:22" x14ac:dyDescent="0.2">
      <c r="A93" s="42">
        <v>18287</v>
      </c>
      <c r="B93" s="77" t="s">
        <v>17</v>
      </c>
      <c r="C93" s="10">
        <v>0</v>
      </c>
      <c r="D93" s="5">
        <v>0</v>
      </c>
      <c r="E93" s="5">
        <v>0</v>
      </c>
      <c r="F93" s="10">
        <v>0</v>
      </c>
      <c r="G93" s="5">
        <v>0</v>
      </c>
      <c r="H93" s="5">
        <v>0</v>
      </c>
      <c r="I93" s="10">
        <v>0</v>
      </c>
      <c r="J93" s="5">
        <v>0</v>
      </c>
      <c r="K93" s="5">
        <v>0</v>
      </c>
      <c r="L93" s="10">
        <v>0</v>
      </c>
      <c r="M93" s="5">
        <v>0</v>
      </c>
      <c r="N93" s="5">
        <v>0</v>
      </c>
      <c r="O93" s="10">
        <f>K93+H93+E93</f>
        <v>0</v>
      </c>
      <c r="P93" s="97">
        <f t="shared" si="17"/>
        <v>0</v>
      </c>
      <c r="Q93" s="101" t="str">
        <f t="shared" si="7"/>
        <v xml:space="preserve"> </v>
      </c>
      <c r="R93" s="91" t="str">
        <f>IF($C$4="High Inventory",IF(AND(O93&gt;=Summary!$C$106,P93&gt;=Summary!$C$107),"X"," "),IF(AND(O93&lt;=-Summary!$C$106,P93&lt;=-Summary!$C$107),"X"," "))</f>
        <v xml:space="preserve"> </v>
      </c>
      <c r="S93" s="123" t="str">
        <f>IF(AND(L93-I93&gt;=Summary!$C$110,N93-K93&gt;Summary!$C$110,N93&gt;0),"X"," ")</f>
        <v xml:space="preserve"> </v>
      </c>
      <c r="T93" s="17" t="str">
        <f>IF($C$4="High Inventory",IF(AND($O93&gt;=Summary!$C$106,$P93&gt;=0%),"X"," "),IF(AND($O93&lt;=-Summary!$C$106,$P93&lt;=0%),"X"," "))</f>
        <v xml:space="preserve"> </v>
      </c>
      <c r="U93" s="21" t="str">
        <f>IF($C$4="High Inventory",IF(AND($O93&gt;=0,$P93&gt;=Summary!$C$107),"X"," "),IF(AND($O93&lt;=0,$P93&lt;=-Summary!$C$107),"X"," "))</f>
        <v xml:space="preserve"> </v>
      </c>
      <c r="V93" t="str">
        <f t="shared" si="14"/>
        <v xml:space="preserve"> </v>
      </c>
    </row>
    <row r="94" spans="1:22" x14ac:dyDescent="0.2">
      <c r="A94" s="42">
        <v>20566</v>
      </c>
      <c r="B94" s="77" t="s">
        <v>17</v>
      </c>
      <c r="C94" s="10">
        <v>0</v>
      </c>
      <c r="D94" s="5">
        <v>0</v>
      </c>
      <c r="E94" s="5">
        <v>0</v>
      </c>
      <c r="F94" s="10">
        <v>0</v>
      </c>
      <c r="G94" s="5">
        <v>0</v>
      </c>
      <c r="H94" s="5">
        <v>0</v>
      </c>
      <c r="I94" s="10">
        <v>0</v>
      </c>
      <c r="J94" s="5">
        <v>0</v>
      </c>
      <c r="K94" s="5">
        <v>0</v>
      </c>
      <c r="L94" s="10">
        <v>0</v>
      </c>
      <c r="M94" s="5">
        <v>0</v>
      </c>
      <c r="N94" s="5">
        <v>0</v>
      </c>
      <c r="O94" s="10">
        <f>K94+H94+E94</f>
        <v>0</v>
      </c>
      <c r="P94" s="97">
        <f t="shared" si="17"/>
        <v>0</v>
      </c>
      <c r="Q94" s="101" t="str">
        <f t="shared" si="7"/>
        <v xml:space="preserve"> </v>
      </c>
      <c r="R94" s="91" t="str">
        <f>IF($C$4="High Inventory",IF(AND(O94&gt;=Summary!$C$106,P94&gt;=Summary!$C$107),"X"," "),IF(AND(O94&lt;=-Summary!$C$106,P94&lt;=-Summary!$C$107),"X"," "))</f>
        <v xml:space="preserve"> </v>
      </c>
      <c r="S94" s="123" t="str">
        <f>IF(AND(L94-I94&gt;=Summary!$C$110,N94-K94&gt;Summary!$C$110,N94&gt;0),"X"," ")</f>
        <v xml:space="preserve"> </v>
      </c>
      <c r="T94" s="17" t="str">
        <f>IF($C$4="High Inventory",IF(AND($O94&gt;=Summary!$C$106,$P94&gt;=0%),"X"," "),IF(AND($O94&lt;=-Summary!$C$106,$P94&lt;=0%),"X"," "))</f>
        <v xml:space="preserve"> </v>
      </c>
      <c r="U94" s="21" t="str">
        <f>IF($C$4="High Inventory",IF(AND($O94&gt;=0,$P94&gt;=Summary!$C$107),"X"," "),IF(AND($O94&lt;=0,$P94&lt;=-Summary!$C$107),"X"," "))</f>
        <v xml:space="preserve"> </v>
      </c>
      <c r="V94" t="str">
        <f t="shared" si="14"/>
        <v xml:space="preserve"> </v>
      </c>
    </row>
    <row r="95" spans="1:22" x14ac:dyDescent="0.2">
      <c r="A95" s="42">
        <v>25541</v>
      </c>
      <c r="B95" s="77" t="s">
        <v>17</v>
      </c>
      <c r="C95" s="10">
        <v>0</v>
      </c>
      <c r="D95" s="5">
        <v>9</v>
      </c>
      <c r="E95" s="5">
        <v>-9</v>
      </c>
      <c r="F95" s="10">
        <v>0</v>
      </c>
      <c r="G95" s="5">
        <v>57</v>
      </c>
      <c r="H95" s="5">
        <v>-57</v>
      </c>
      <c r="I95" s="10">
        <v>0</v>
      </c>
      <c r="J95" s="5">
        <v>54</v>
      </c>
      <c r="K95" s="5">
        <v>-54</v>
      </c>
      <c r="L95" s="10">
        <v>0</v>
      </c>
      <c r="M95" s="5">
        <v>55</v>
      </c>
      <c r="N95" s="5">
        <v>-55</v>
      </c>
      <c r="O95" s="10">
        <f>K95+H95+E95</f>
        <v>-120</v>
      </c>
      <c r="P95" s="97">
        <f t="shared" si="17"/>
        <v>-0.99173553719008267</v>
      </c>
      <c r="Q95" s="101" t="str">
        <f t="shared" si="7"/>
        <v xml:space="preserve"> </v>
      </c>
      <c r="R95" s="91" t="str">
        <f>IF($C$4="High Inventory",IF(AND(O95&gt;=Summary!$C$106,P95&gt;=Summary!$C$107),"X"," "),IF(AND(O95&lt;=-Summary!$C$106,P95&lt;=-Summary!$C$107),"X"," "))</f>
        <v xml:space="preserve"> </v>
      </c>
      <c r="S95" s="123" t="str">
        <f>IF(AND(L95-I95&gt;=Summary!$C$110,N95-K95&gt;Summary!$C$110,N95&gt;0),"X"," ")</f>
        <v xml:space="preserve"> </v>
      </c>
      <c r="T95" s="17" t="str">
        <f>IF($C$4="High Inventory",IF(AND($O95&gt;=Summary!$C$106,$P95&gt;=0%),"X"," "),IF(AND($O95&lt;=-Summary!$C$106,$P95&lt;=0%),"X"," "))</f>
        <v xml:space="preserve"> </v>
      </c>
      <c r="U95" s="21" t="str">
        <f>IF($C$4="High Inventory",IF(AND($O95&gt;=0,$P95&gt;=Summary!$C$107),"X"," "),IF(AND($O95&lt;=0,$P95&lt;=-Summary!$C$107),"X"," "))</f>
        <v xml:space="preserve"> </v>
      </c>
      <c r="V95" t="str">
        <f t="shared" si="14"/>
        <v xml:space="preserve"> </v>
      </c>
    </row>
    <row r="96" spans="1:22" ht="13.5" thickBot="1" x14ac:dyDescent="0.25">
      <c r="A96" s="42">
        <v>28369</v>
      </c>
      <c r="B96" s="77" t="s">
        <v>17</v>
      </c>
      <c r="C96" s="10">
        <v>0</v>
      </c>
      <c r="D96" s="5">
        <v>54</v>
      </c>
      <c r="E96" s="5">
        <v>-54</v>
      </c>
      <c r="F96" s="10">
        <v>0</v>
      </c>
      <c r="G96" s="5">
        <v>54</v>
      </c>
      <c r="H96" s="5">
        <v>-54</v>
      </c>
      <c r="I96" s="10">
        <v>0</v>
      </c>
      <c r="J96" s="5">
        <v>54</v>
      </c>
      <c r="K96" s="5">
        <v>-54</v>
      </c>
      <c r="L96" s="10">
        <v>0</v>
      </c>
      <c r="M96" s="5">
        <v>54</v>
      </c>
      <c r="N96" s="5">
        <v>-54</v>
      </c>
      <c r="O96" s="10">
        <f>K96+H96+E96</f>
        <v>-162</v>
      </c>
      <c r="P96" s="97">
        <f t="shared" si="17"/>
        <v>-0.99386503067484666</v>
      </c>
      <c r="Q96" s="120" t="str">
        <f t="shared" si="7"/>
        <v xml:space="preserve"> </v>
      </c>
      <c r="R96" s="121" t="str">
        <f>IF($C$4="High Inventory",IF(AND(O96&gt;=Summary!$C$106,P96&gt;=Summary!$C$107),"X"," "),IF(AND(O96&lt;=-Summary!$C$106,P96&lt;=-Summary!$C$107),"X"," "))</f>
        <v xml:space="preserve"> </v>
      </c>
      <c r="S96" s="124" t="str">
        <f>IF(AND(L96-I96&gt;=Summary!$C$110,N96-K96&gt;Summary!$C$110,N96&gt;0),"X"," ")</f>
        <v xml:space="preserve"> </v>
      </c>
      <c r="T96" s="127" t="str">
        <f>IF($C$4="High Inventory",IF(AND($O96&gt;=Summary!$C$106,$P96&gt;=0%),"X"," "),IF(AND($O96&lt;=-Summary!$C$106,$P96&lt;=0%),"X"," "))</f>
        <v xml:space="preserve"> </v>
      </c>
      <c r="U96" s="23" t="str">
        <f>IF($C$4="High Inventory",IF(AND($O96&gt;=0,$P96&gt;=Summary!$C$107),"X"," "),IF(AND($O96&lt;=0,$P96&lt;=-Summary!$C$107),"X"," "))</f>
        <v xml:space="preserve"> </v>
      </c>
      <c r="V96" t="str">
        <f t="shared" si="14"/>
        <v xml:space="preserve"> </v>
      </c>
    </row>
    <row r="97" spans="1:42" s="3" customFormat="1" x14ac:dyDescent="0.2">
      <c r="A97" s="2" t="s">
        <v>18</v>
      </c>
      <c r="B97" s="2"/>
      <c r="E97" s="3">
        <f>SUM(E10:E96)</f>
        <v>187469</v>
      </c>
      <c r="H97" s="3">
        <f>SUM(H8:H96)</f>
        <v>-17055</v>
      </c>
      <c r="K97" s="3">
        <f>SUM(K8:K96)</f>
        <v>213510</v>
      </c>
      <c r="M97" s="3">
        <f>SUM(M8:M96)</f>
        <v>1740624</v>
      </c>
      <c r="N97" s="3">
        <f>SUM(N8:N96)</f>
        <v>-131858</v>
      </c>
      <c r="P97" s="22"/>
      <c r="Q97" s="2">
        <f>COUNTIF(Q10:Q96,"X")</f>
        <v>6</v>
      </c>
      <c r="R97" s="2">
        <f>COUNTIF(R10:R96,"X")</f>
        <v>9</v>
      </c>
      <c r="S97" s="2">
        <f>COUNTIF(S10:S96,"X")</f>
        <v>4</v>
      </c>
      <c r="T97" s="2">
        <f>COUNTIF(T10:T96,"X")</f>
        <v>11</v>
      </c>
      <c r="U97" s="2">
        <f>COUNTIF(U10:U96,"X")</f>
        <v>13</v>
      </c>
      <c r="V97">
        <f>SUM(V$59:V$89)+SUM(V$31:V$53)+SUM(V$10:V$26)</f>
        <v>47929</v>
      </c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</row>
    <row r="98" spans="1:42" x14ac:dyDescent="0.2">
      <c r="M98" s="115" t="s">
        <v>57</v>
      </c>
      <c r="N98" s="116">
        <f>N97/M97</f>
        <v>-7.5753293071909839E-2</v>
      </c>
      <c r="P98" s="1"/>
      <c r="R98" s="2" t="str">
        <f>IF(AND(O98&gt;=5000,P98&gt;=10%),"X"," ")</f>
        <v xml:space="preserve"> </v>
      </c>
      <c r="S98" s="2" t="str">
        <f>IF(AND(L98-I98&gt;=5000,N98-K98&gt;5000,N98&gt;0),"X"," ")</f>
        <v xml:space="preserve"> </v>
      </c>
    </row>
    <row r="99" spans="1:42" x14ac:dyDescent="0.2">
      <c r="P99" s="1"/>
      <c r="R99" s="2" t="str">
        <f>IF(AND(O99&gt;=5000,P99&gt;=10%),"X"," ")</f>
        <v xml:space="preserve"> </v>
      </c>
      <c r="S99" s="2" t="str">
        <f>IF(AND(L99-I99&gt;=5000,N99-K99&gt;5000,N99&gt;0),"X"," ")</f>
        <v xml:space="preserve"> </v>
      </c>
    </row>
  </sheetData>
  <mergeCells count="1">
    <mergeCell ref="R6:S6"/>
  </mergeCells>
  <pageMargins left="0.25" right="0.25" top="0.62" bottom="1" header="0.46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B.3.b.)&amp;C
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10" sqref="B10"/>
    </sheetView>
  </sheetViews>
  <sheetFormatPr defaultColWidth="7.85546875" defaultRowHeight="12.75" x14ac:dyDescent="0.2"/>
  <cols>
    <col min="1" max="1" width="9.42578125" style="43" customWidth="1"/>
    <col min="2" max="2" width="10" style="43" customWidth="1"/>
    <col min="3" max="19" width="10" customWidth="1"/>
    <col min="20" max="22" width="10" hidden="1" customWidth="1"/>
    <col min="23" max="26" width="10" customWidth="1"/>
    <col min="27" max="252" width="9.140625" customWidth="1"/>
  </cols>
  <sheetData>
    <row r="1" spans="1:22" ht="18" x14ac:dyDescent="0.25">
      <c r="A1" s="80" t="s">
        <v>45</v>
      </c>
    </row>
    <row r="2" spans="1:22" ht="19.5" customHeight="1" x14ac:dyDescent="0.2">
      <c r="A2" s="113" t="s">
        <v>24</v>
      </c>
    </row>
    <row r="3" spans="1:22" ht="15.75" x14ac:dyDescent="0.25">
      <c r="A3" s="81" t="s">
        <v>25</v>
      </c>
      <c r="C3" s="20">
        <f>L8</f>
        <v>36631</v>
      </c>
      <c r="D3" s="19"/>
    </row>
    <row r="4" spans="1:22" ht="15.75" x14ac:dyDescent="0.25">
      <c r="A4" s="81" t="s">
        <v>26</v>
      </c>
      <c r="C4" s="4" t="s">
        <v>27</v>
      </c>
      <c r="E4" s="4" t="s">
        <v>60</v>
      </c>
    </row>
    <row r="5" spans="1:22" ht="16.5" thickBot="1" x14ac:dyDescent="0.3">
      <c r="A5" s="81" t="s">
        <v>28</v>
      </c>
      <c r="C5" s="4" t="s">
        <v>42</v>
      </c>
    </row>
    <row r="6" spans="1:22" ht="21.75" customHeight="1" thickBot="1" x14ac:dyDescent="0.25">
      <c r="R6" s="219" t="s">
        <v>35</v>
      </c>
      <c r="S6" s="220"/>
    </row>
    <row r="7" spans="1:22" s="85" customFormat="1" ht="54" customHeight="1" thickBot="1" x14ac:dyDescent="0.25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203" t="s">
        <v>56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  <c r="V7" s="98"/>
    </row>
    <row r="8" spans="1:22" s="76" customFormat="1" ht="15.95" customHeight="1" thickBot="1" x14ac:dyDescent="0.25">
      <c r="A8" s="78"/>
      <c r="B8" s="79"/>
      <c r="C8" s="73">
        <v>36628</v>
      </c>
      <c r="D8" s="74"/>
      <c r="E8" s="75" t="str">
        <f>TEXT(WEEKDAY(C8),"dddd")</f>
        <v>Wednesday</v>
      </c>
      <c r="F8" s="73">
        <v>36629</v>
      </c>
      <c r="G8" s="74"/>
      <c r="H8" s="75" t="str">
        <f>TEXT(WEEKDAY(F8),"dddd")</f>
        <v>Thursday</v>
      </c>
      <c r="I8" s="73">
        <v>36630</v>
      </c>
      <c r="J8" s="74"/>
      <c r="K8" s="75" t="str">
        <f>TEXT(WEEKDAY(I8),"dddd")</f>
        <v>Friday</v>
      </c>
      <c r="L8" s="73">
        <v>36631</v>
      </c>
      <c r="M8" s="74"/>
      <c r="N8" s="75" t="str">
        <f>TEXT(WEEKDAY(L8),"dddd")</f>
        <v>Saturday</v>
      </c>
      <c r="O8" s="71"/>
      <c r="P8" s="133"/>
      <c r="Q8" s="128"/>
      <c r="R8" s="129"/>
      <c r="S8" s="156">
        <f>Summary!$C$110</f>
        <v>5000</v>
      </c>
      <c r="T8" s="128"/>
      <c r="U8" s="130"/>
    </row>
    <row r="9" spans="1:22" ht="51" hidden="1" x14ac:dyDescent="0.2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3" si="0">K9+H9+E9</f>
        <v>#VALUE!</v>
      </c>
      <c r="P9" s="94"/>
      <c r="Q9" s="89"/>
      <c r="R9" s="87"/>
      <c r="S9" s="88"/>
      <c r="T9" s="89"/>
      <c r="U9" s="88"/>
    </row>
    <row r="10" spans="1:22" x14ac:dyDescent="0.2">
      <c r="A10" s="42">
        <v>1117</v>
      </c>
      <c r="B10" s="77" t="s">
        <v>8</v>
      </c>
      <c r="C10" s="10">
        <v>0</v>
      </c>
      <c r="D10" s="5">
        <v>233</v>
      </c>
      <c r="E10" s="5">
        <v>-233</v>
      </c>
      <c r="F10" s="10">
        <v>310</v>
      </c>
      <c r="G10" s="5">
        <v>227</v>
      </c>
      <c r="H10" s="5">
        <v>83</v>
      </c>
      <c r="I10" s="10">
        <v>310</v>
      </c>
      <c r="J10" s="5">
        <v>233</v>
      </c>
      <c r="K10" s="5">
        <v>77</v>
      </c>
      <c r="L10" s="10">
        <v>0</v>
      </c>
      <c r="M10" s="5">
        <v>213</v>
      </c>
      <c r="N10" s="5">
        <v>-213</v>
      </c>
      <c r="O10" s="10">
        <f t="shared" si="0"/>
        <v>-73</v>
      </c>
      <c r="P10" s="97">
        <f t="shared" ref="P10:P53" si="1">O10/(J10+G10+D10+1)</f>
        <v>-0.10518731988472622</v>
      </c>
      <c r="Q10" s="101" t="str">
        <f t="shared" ref="Q10:Q26" si="2">" "</f>
        <v xml:space="preserve"> </v>
      </c>
      <c r="R10" s="91" t="str">
        <f>IF($C$4="High Inventory",IF(AND(O10&gt;=Summary!$C$106,P10&gt;=Summary!$C$107),"X"," "),IF(AND(O10&lt;=-Summary!$C$106,P10&lt;=-Summary!$C$107),"X"," "))</f>
        <v xml:space="preserve"> </v>
      </c>
      <c r="S10" s="21" t="str">
        <f>IF(AND(L10-I10&gt;=Summary!$C$110,N10-K10&gt;Summary!$C$110,N10&gt;0),"X"," ")</f>
        <v xml:space="preserve"> </v>
      </c>
      <c r="T10" s="17" t="str">
        <f>IF($C$4="High Inventory",IF(AND($O10&gt;=Summary!$C$106,$P10&gt;=0%),"X"," "),IF(AND($O10&lt;=-Summary!$C$106,$P10&lt;=0%),"X"," "))</f>
        <v xml:space="preserve"> </v>
      </c>
      <c r="U10" s="21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">
      <c r="A11" s="42">
        <v>1126</v>
      </c>
      <c r="B11" s="77" t="s">
        <v>8</v>
      </c>
      <c r="C11" s="10">
        <v>0</v>
      </c>
      <c r="D11" s="5">
        <v>50</v>
      </c>
      <c r="E11" s="5">
        <v>-50</v>
      </c>
      <c r="F11" s="10">
        <v>0</v>
      </c>
      <c r="G11" s="5">
        <v>49</v>
      </c>
      <c r="H11" s="5">
        <v>-49</v>
      </c>
      <c r="I11" s="10">
        <v>0</v>
      </c>
      <c r="J11" s="5">
        <v>52</v>
      </c>
      <c r="K11" s="5">
        <v>-52</v>
      </c>
      <c r="L11" s="10">
        <v>0</v>
      </c>
      <c r="M11" s="5">
        <v>47</v>
      </c>
      <c r="N11" s="5">
        <v>-47</v>
      </c>
      <c r="O11" s="10">
        <f t="shared" si="0"/>
        <v>-151</v>
      </c>
      <c r="P11" s="97">
        <f t="shared" si="1"/>
        <v>-0.99342105263157898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">
      <c r="A12" s="42">
        <v>1157</v>
      </c>
      <c r="B12" s="77" t="s">
        <v>8</v>
      </c>
      <c r="C12" s="10">
        <v>100</v>
      </c>
      <c r="D12" s="5">
        <v>102</v>
      </c>
      <c r="E12" s="5">
        <v>-2</v>
      </c>
      <c r="F12" s="10">
        <v>100</v>
      </c>
      <c r="G12" s="5">
        <v>91</v>
      </c>
      <c r="H12" s="5">
        <v>9</v>
      </c>
      <c r="I12" s="10">
        <v>100</v>
      </c>
      <c r="J12" s="5">
        <v>91</v>
      </c>
      <c r="K12" s="5">
        <v>9</v>
      </c>
      <c r="L12" s="10">
        <v>100</v>
      </c>
      <c r="M12" s="5">
        <v>82</v>
      </c>
      <c r="N12" s="5">
        <v>18</v>
      </c>
      <c r="O12" s="10">
        <f t="shared" si="0"/>
        <v>16</v>
      </c>
      <c r="P12" s="97">
        <f t="shared" si="1"/>
        <v>5.6140350877192984E-2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">
      <c r="A13" s="42">
        <v>1780</v>
      </c>
      <c r="B13" s="77" t="s">
        <v>8</v>
      </c>
      <c r="C13" s="10">
        <v>1210</v>
      </c>
      <c r="D13" s="5">
        <v>1528</v>
      </c>
      <c r="E13" s="5">
        <v>-318</v>
      </c>
      <c r="F13" s="10">
        <v>1210</v>
      </c>
      <c r="G13" s="5">
        <v>1477</v>
      </c>
      <c r="H13" s="5">
        <v>-267</v>
      </c>
      <c r="I13" s="10">
        <v>1210</v>
      </c>
      <c r="J13" s="5">
        <v>1529</v>
      </c>
      <c r="K13" s="5">
        <v>-319</v>
      </c>
      <c r="L13" s="10">
        <v>1210</v>
      </c>
      <c r="M13" s="5">
        <v>1408</v>
      </c>
      <c r="N13" s="5">
        <v>-198</v>
      </c>
      <c r="O13" s="10">
        <f t="shared" si="0"/>
        <v>-904</v>
      </c>
      <c r="P13" s="97">
        <f t="shared" si="1"/>
        <v>-0.19933847850055128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">
      <c r="A14" s="42">
        <v>2280</v>
      </c>
      <c r="B14" s="77" t="s">
        <v>8</v>
      </c>
      <c r="C14" s="10">
        <v>443</v>
      </c>
      <c r="D14" s="5">
        <v>494</v>
      </c>
      <c r="E14" s="5">
        <v>-51</v>
      </c>
      <c r="F14" s="10">
        <v>443</v>
      </c>
      <c r="G14" s="5">
        <v>465</v>
      </c>
      <c r="H14" s="5">
        <v>-22</v>
      </c>
      <c r="I14" s="10">
        <v>443</v>
      </c>
      <c r="J14" s="5">
        <v>462</v>
      </c>
      <c r="K14" s="5">
        <v>-19</v>
      </c>
      <c r="L14" s="10">
        <v>443</v>
      </c>
      <c r="M14" s="5">
        <v>422</v>
      </c>
      <c r="N14" s="5">
        <v>21</v>
      </c>
      <c r="O14" s="10">
        <f t="shared" si="0"/>
        <v>-92</v>
      </c>
      <c r="P14" s="97">
        <f t="shared" si="1"/>
        <v>-6.4697609001406475E-2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3"/>
        <v xml:space="preserve"> </v>
      </c>
    </row>
    <row r="15" spans="1:22" x14ac:dyDescent="0.2">
      <c r="A15" s="42">
        <v>2584</v>
      </c>
      <c r="B15" s="77" t="s">
        <v>8</v>
      </c>
      <c r="C15" s="10">
        <v>3500</v>
      </c>
      <c r="D15" s="5">
        <v>3582</v>
      </c>
      <c r="E15" s="5">
        <v>-82</v>
      </c>
      <c r="F15" s="10">
        <v>3800</v>
      </c>
      <c r="G15" s="5">
        <v>3437</v>
      </c>
      <c r="H15" s="5">
        <v>363</v>
      </c>
      <c r="I15" s="10">
        <v>3800</v>
      </c>
      <c r="J15" s="5">
        <v>3472</v>
      </c>
      <c r="K15" s="5">
        <v>328</v>
      </c>
      <c r="L15" s="10">
        <v>3800</v>
      </c>
      <c r="M15" s="5">
        <v>3188</v>
      </c>
      <c r="N15" s="5">
        <v>612</v>
      </c>
      <c r="O15" s="10">
        <f t="shared" si="0"/>
        <v>609</v>
      </c>
      <c r="P15" s="97">
        <f t="shared" si="1"/>
        <v>5.8044224170796799E-2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 xml:space="preserve"> </v>
      </c>
      <c r="V15" t="str">
        <f t="shared" si="3"/>
        <v xml:space="preserve"> </v>
      </c>
    </row>
    <row r="16" spans="1:22" x14ac:dyDescent="0.2">
      <c r="A16" s="42">
        <v>2771</v>
      </c>
      <c r="B16" s="77" t="s">
        <v>8</v>
      </c>
      <c r="C16" s="10">
        <v>6600</v>
      </c>
      <c r="D16" s="5">
        <v>6499</v>
      </c>
      <c r="E16" s="5">
        <v>101</v>
      </c>
      <c r="F16" s="10">
        <v>7800</v>
      </c>
      <c r="G16" s="5">
        <v>6195</v>
      </c>
      <c r="H16" s="5">
        <v>1605</v>
      </c>
      <c r="I16" s="10">
        <v>5600</v>
      </c>
      <c r="J16" s="5">
        <v>6229</v>
      </c>
      <c r="K16" s="5">
        <v>-629</v>
      </c>
      <c r="L16" s="10">
        <v>5600</v>
      </c>
      <c r="M16" s="5">
        <v>5725</v>
      </c>
      <c r="N16" s="5">
        <v>-125</v>
      </c>
      <c r="O16" s="10">
        <f t="shared" si="0"/>
        <v>1077</v>
      </c>
      <c r="P16" s="97">
        <f t="shared" si="1"/>
        <v>5.6911857958148383E-2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 xml:space="preserve"> 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t="str">
        <f t="shared" si="3"/>
        <v xml:space="preserve"> </v>
      </c>
    </row>
    <row r="17" spans="1:22" x14ac:dyDescent="0.2">
      <c r="A17" s="42">
        <v>2832</v>
      </c>
      <c r="B17" s="77" t="s">
        <v>8</v>
      </c>
      <c r="C17" s="10">
        <v>1033</v>
      </c>
      <c r="D17" s="5">
        <v>927</v>
      </c>
      <c r="E17" s="5">
        <v>106</v>
      </c>
      <c r="F17" s="10">
        <v>1033</v>
      </c>
      <c r="G17" s="5">
        <v>908</v>
      </c>
      <c r="H17" s="5">
        <v>125</v>
      </c>
      <c r="I17" s="10">
        <v>1033</v>
      </c>
      <c r="J17" s="5">
        <v>920</v>
      </c>
      <c r="K17" s="5">
        <v>113</v>
      </c>
      <c r="L17" s="10">
        <v>1033</v>
      </c>
      <c r="M17" s="5">
        <v>848</v>
      </c>
      <c r="N17" s="5">
        <v>185</v>
      </c>
      <c r="O17" s="10">
        <f t="shared" si="0"/>
        <v>344</v>
      </c>
      <c r="P17" s="97">
        <f t="shared" si="1"/>
        <v>0.12481857764876633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>X</v>
      </c>
      <c r="V17" t="str">
        <f t="shared" si="3"/>
        <v xml:space="preserve"> </v>
      </c>
    </row>
    <row r="18" spans="1:22" x14ac:dyDescent="0.2">
      <c r="A18" s="42">
        <v>2892</v>
      </c>
      <c r="B18" s="77" t="s">
        <v>8</v>
      </c>
      <c r="C18" s="10">
        <v>5307</v>
      </c>
      <c r="D18" s="5">
        <v>4305</v>
      </c>
      <c r="E18" s="5">
        <v>1002</v>
      </c>
      <c r="F18" s="10">
        <v>5307</v>
      </c>
      <c r="G18" s="5">
        <v>4177</v>
      </c>
      <c r="H18" s="5">
        <v>1130</v>
      </c>
      <c r="I18" s="10">
        <v>5307</v>
      </c>
      <c r="J18" s="5">
        <v>4109</v>
      </c>
      <c r="K18" s="5">
        <v>1198</v>
      </c>
      <c r="L18" s="10">
        <v>5307</v>
      </c>
      <c r="M18" s="5">
        <v>3782</v>
      </c>
      <c r="N18" s="5">
        <v>1525</v>
      </c>
      <c r="O18" s="10">
        <f t="shared" si="0"/>
        <v>3330</v>
      </c>
      <c r="P18" s="97">
        <f t="shared" si="1"/>
        <v>0.26445362134688694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>X</v>
      </c>
      <c r="V18" t="str">
        <f t="shared" si="3"/>
        <v xml:space="preserve"> </v>
      </c>
    </row>
    <row r="19" spans="1:22" x14ac:dyDescent="0.2">
      <c r="A19" s="42">
        <v>2939</v>
      </c>
      <c r="B19" s="77" t="s">
        <v>8</v>
      </c>
      <c r="C19" s="10">
        <v>0</v>
      </c>
      <c r="D19" s="5">
        <v>1815</v>
      </c>
      <c r="E19" s="5">
        <v>-1815</v>
      </c>
      <c r="F19" s="10">
        <v>0</v>
      </c>
      <c r="G19" s="5">
        <v>1733</v>
      </c>
      <c r="H19" s="5">
        <v>-1733</v>
      </c>
      <c r="I19" s="10">
        <v>0</v>
      </c>
      <c r="J19" s="5">
        <v>1763</v>
      </c>
      <c r="K19" s="5">
        <v>-1763</v>
      </c>
      <c r="L19" s="10">
        <v>768</v>
      </c>
      <c r="M19" s="5">
        <v>1619</v>
      </c>
      <c r="N19" s="5">
        <v>-851</v>
      </c>
      <c r="O19" s="10">
        <f t="shared" si="0"/>
        <v>-5311</v>
      </c>
      <c r="P19" s="97">
        <f t="shared" si="1"/>
        <v>-0.99981174698795183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">
      <c r="A20" s="42">
        <v>3152</v>
      </c>
      <c r="B20" s="77" t="s">
        <v>8</v>
      </c>
      <c r="C20" s="10">
        <v>8500</v>
      </c>
      <c r="D20" s="5">
        <v>8478</v>
      </c>
      <c r="E20" s="5">
        <v>22</v>
      </c>
      <c r="F20" s="10">
        <v>8985</v>
      </c>
      <c r="G20" s="5">
        <v>8247</v>
      </c>
      <c r="H20" s="5">
        <v>738</v>
      </c>
      <c r="I20" s="10">
        <v>8985</v>
      </c>
      <c r="J20" s="5">
        <v>8506</v>
      </c>
      <c r="K20" s="5">
        <v>479</v>
      </c>
      <c r="L20" s="10">
        <v>8985</v>
      </c>
      <c r="M20" s="5">
        <v>7854</v>
      </c>
      <c r="N20" s="5">
        <v>1131</v>
      </c>
      <c r="O20" s="10">
        <f t="shared" si="0"/>
        <v>1239</v>
      </c>
      <c r="P20" s="97">
        <f t="shared" si="1"/>
        <v>4.9104311984781233E-2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t="str">
        <f t="shared" si="3"/>
        <v xml:space="preserve"> </v>
      </c>
    </row>
    <row r="21" spans="1:22" x14ac:dyDescent="0.2">
      <c r="A21" s="42">
        <v>4303</v>
      </c>
      <c r="B21" s="77" t="s">
        <v>8</v>
      </c>
      <c r="C21" s="10">
        <v>2868</v>
      </c>
      <c r="D21" s="5">
        <v>2315</v>
      </c>
      <c r="E21" s="5">
        <v>553</v>
      </c>
      <c r="F21" s="10">
        <v>1968</v>
      </c>
      <c r="G21" s="5">
        <v>2205</v>
      </c>
      <c r="H21" s="5">
        <v>-237</v>
      </c>
      <c r="I21" s="10">
        <v>2188</v>
      </c>
      <c r="J21" s="5">
        <v>2255</v>
      </c>
      <c r="K21" s="5">
        <v>-67</v>
      </c>
      <c r="L21" s="10">
        <v>2118</v>
      </c>
      <c r="M21" s="5">
        <v>2069</v>
      </c>
      <c r="N21" s="5">
        <v>49</v>
      </c>
      <c r="O21" s="10">
        <f t="shared" si="0"/>
        <v>249</v>
      </c>
      <c r="P21" s="97">
        <f t="shared" si="1"/>
        <v>3.6747343565525385E-2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3"/>
        <v xml:space="preserve"> </v>
      </c>
    </row>
    <row r="22" spans="1:22" x14ac:dyDescent="0.2">
      <c r="A22" s="42">
        <v>6500</v>
      </c>
      <c r="B22" s="77" t="s">
        <v>8</v>
      </c>
      <c r="C22" s="10">
        <v>514803</v>
      </c>
      <c r="D22" s="5">
        <v>582170</v>
      </c>
      <c r="E22" s="5">
        <v>-67367</v>
      </c>
      <c r="F22" s="10">
        <v>589588</v>
      </c>
      <c r="G22" s="5">
        <v>574662</v>
      </c>
      <c r="H22" s="5">
        <v>14926</v>
      </c>
      <c r="I22" s="10">
        <v>622523</v>
      </c>
      <c r="J22" s="5">
        <v>623512</v>
      </c>
      <c r="K22" s="5">
        <v>-989</v>
      </c>
      <c r="L22" s="10">
        <v>569434</v>
      </c>
      <c r="M22" s="5">
        <v>575652</v>
      </c>
      <c r="N22" s="5">
        <v>-6218</v>
      </c>
      <c r="O22" s="10">
        <f t="shared" si="0"/>
        <v>-53430</v>
      </c>
      <c r="P22" s="97">
        <f t="shared" si="1"/>
        <v>-3.0011037186612709E-2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 xml:space="preserve"> 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">
      <c r="A23" s="42">
        <v>10656</v>
      </c>
      <c r="B23" s="77" t="s">
        <v>8</v>
      </c>
      <c r="C23" s="10">
        <v>0</v>
      </c>
      <c r="D23" s="5">
        <v>257</v>
      </c>
      <c r="E23" s="5">
        <v>-257</v>
      </c>
      <c r="F23" s="10">
        <v>300</v>
      </c>
      <c r="G23" s="5">
        <v>219</v>
      </c>
      <c r="H23" s="5">
        <v>81</v>
      </c>
      <c r="I23" s="10">
        <v>300</v>
      </c>
      <c r="J23" s="5">
        <v>238</v>
      </c>
      <c r="K23" s="5">
        <v>62</v>
      </c>
      <c r="L23" s="10">
        <v>0</v>
      </c>
      <c r="M23" s="5">
        <v>217</v>
      </c>
      <c r="N23" s="5">
        <v>-217</v>
      </c>
      <c r="O23" s="10">
        <f t="shared" si="0"/>
        <v>-114</v>
      </c>
      <c r="P23" s="97">
        <f t="shared" si="1"/>
        <v>-0.15944055944055943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">
      <c r="A24" s="42">
        <v>12296</v>
      </c>
      <c r="B24" s="77" t="s">
        <v>8</v>
      </c>
      <c r="C24" s="10">
        <v>2500</v>
      </c>
      <c r="D24" s="5">
        <v>2362</v>
      </c>
      <c r="E24" s="5">
        <v>138</v>
      </c>
      <c r="F24" s="10">
        <v>2500</v>
      </c>
      <c r="G24" s="5">
        <v>2267</v>
      </c>
      <c r="H24" s="5">
        <v>233</v>
      </c>
      <c r="I24" s="10">
        <v>2500</v>
      </c>
      <c r="J24" s="5">
        <v>2272</v>
      </c>
      <c r="K24" s="5">
        <v>228</v>
      </c>
      <c r="L24" s="10">
        <v>2500</v>
      </c>
      <c r="M24" s="5">
        <v>2085</v>
      </c>
      <c r="N24" s="5">
        <v>415</v>
      </c>
      <c r="O24" s="10">
        <f t="shared" si="0"/>
        <v>599</v>
      </c>
      <c r="P24" s="97">
        <f t="shared" si="1"/>
        <v>8.6786438713416403E-2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">
      <c r="A25" s="42">
        <v>16786</v>
      </c>
      <c r="B25" s="77" t="s">
        <v>8</v>
      </c>
      <c r="C25" s="10">
        <v>3509</v>
      </c>
      <c r="D25" s="5">
        <v>3119</v>
      </c>
      <c r="E25" s="5">
        <v>390</v>
      </c>
      <c r="F25" s="10">
        <v>3509</v>
      </c>
      <c r="G25" s="5">
        <v>3000</v>
      </c>
      <c r="H25" s="5">
        <v>509</v>
      </c>
      <c r="I25" s="10">
        <v>3509</v>
      </c>
      <c r="J25" s="5">
        <v>3218</v>
      </c>
      <c r="K25" s="5">
        <v>291</v>
      </c>
      <c r="L25" s="10">
        <v>3509</v>
      </c>
      <c r="M25" s="5">
        <v>2962</v>
      </c>
      <c r="N25" s="5">
        <v>547</v>
      </c>
      <c r="O25" s="10">
        <f t="shared" si="0"/>
        <v>1190</v>
      </c>
      <c r="P25" s="97">
        <f t="shared" si="1"/>
        <v>0.12743628185907047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>X</v>
      </c>
      <c r="V25" t="str">
        <f t="shared" si="3"/>
        <v xml:space="preserve"> </v>
      </c>
    </row>
    <row r="26" spans="1:22" x14ac:dyDescent="0.2">
      <c r="A26" s="42">
        <v>17791</v>
      </c>
      <c r="B26" s="77" t="s">
        <v>8</v>
      </c>
      <c r="C26" s="10">
        <v>140</v>
      </c>
      <c r="D26" s="5">
        <v>315</v>
      </c>
      <c r="E26" s="5">
        <v>-175</v>
      </c>
      <c r="F26" s="10">
        <v>140</v>
      </c>
      <c r="G26" s="5">
        <v>288</v>
      </c>
      <c r="H26" s="5">
        <v>-148</v>
      </c>
      <c r="I26" s="10">
        <v>140</v>
      </c>
      <c r="J26" s="5">
        <v>299</v>
      </c>
      <c r="K26" s="5">
        <v>-159</v>
      </c>
      <c r="L26" s="10">
        <v>140</v>
      </c>
      <c r="M26" s="5">
        <v>275</v>
      </c>
      <c r="N26" s="5">
        <v>-135</v>
      </c>
      <c r="O26" s="10">
        <f t="shared" si="0"/>
        <v>-482</v>
      </c>
      <c r="P26" s="97">
        <f t="shared" si="1"/>
        <v>-0.53377630121816166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7"/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">
      <c r="A28" s="42"/>
      <c r="B28" s="77"/>
      <c r="C28" s="15">
        <v>36628</v>
      </c>
      <c r="D28" s="5"/>
      <c r="E28" s="5"/>
      <c r="F28" s="15">
        <v>36629</v>
      </c>
      <c r="G28" s="5"/>
      <c r="H28" s="5"/>
      <c r="I28" s="15">
        <v>36630</v>
      </c>
      <c r="J28" s="5"/>
      <c r="K28" s="5"/>
      <c r="L28" s="15">
        <v>36631</v>
      </c>
      <c r="M28" s="5"/>
      <c r="N28" s="5"/>
      <c r="O28" s="10">
        <f>K28+H28+E28</f>
        <v>0</v>
      </c>
      <c r="P28" s="97">
        <f>O28/(J28+G28+D28+1)</f>
        <v>0</v>
      </c>
      <c r="Q28" s="17"/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">
      <c r="A29" s="42" t="s">
        <v>13</v>
      </c>
      <c r="B29" s="77" t="s">
        <v>14</v>
      </c>
      <c r="C29" s="15" t="s">
        <v>37</v>
      </c>
      <c r="D29" s="5" t="s">
        <v>40</v>
      </c>
      <c r="E29" s="5" t="s">
        <v>41</v>
      </c>
      <c r="F29" s="15" t="s">
        <v>37</v>
      </c>
      <c r="G29" s="5" t="s">
        <v>40</v>
      </c>
      <c r="H29" s="5" t="s">
        <v>41</v>
      </c>
      <c r="I29" s="15" t="s">
        <v>37</v>
      </c>
      <c r="J29" s="5" t="s">
        <v>40</v>
      </c>
      <c r="K29" s="5" t="s">
        <v>41</v>
      </c>
      <c r="L29" s="15" t="s">
        <v>37</v>
      </c>
      <c r="M29" s="5" t="s">
        <v>40</v>
      </c>
      <c r="N29" s="5" t="s">
        <v>41</v>
      </c>
      <c r="O29" s="10" t="e">
        <f>K29+H29+E29</f>
        <v>#VALUE!</v>
      </c>
      <c r="P29" s="97" t="e">
        <f>O29/(J29+G29+D29+1)</f>
        <v>#VALUE!</v>
      </c>
      <c r="Q29" s="132"/>
      <c r="R29" s="91" t="e">
        <f>IF($C$4="High Inventory",IF(AND(O29&gt;=Summary!$C$106,P29&gt;=Summary!$C$107),"X"," "),IF(AND(O29&lt;=-Summary!$C$106,P29&lt;=-Summary!$C$107),"X"," "))</f>
        <v>#VALUE!</v>
      </c>
      <c r="S29" s="21" t="e">
        <f>IF(AND(L29-I29&gt;=Summary!$C$110,N29-K29&gt;Summary!$C$110,N29&gt;0),"X"," ")</f>
        <v>#VALUE!</v>
      </c>
      <c r="T29" s="17" t="e">
        <f>IF($C$4="High Inventory",IF(AND($O29&gt;=Summary!$C$106,$P29&gt;=0%),"X"," "),IF(AND($O29&lt;=-Summary!$C$106,$P29&lt;=0%),"X"," "))</f>
        <v>#VALUE!</v>
      </c>
      <c r="U29" s="21" t="e">
        <f>IF($C$4="High Inventory",IF(AND($O29&gt;=0,$P29&gt;=Summary!$C$107),"X"," "),IF(AND($O29&lt;=0,$P29&lt;=-Summary!$C$107),"X"," "))</f>
        <v>#VALUE!</v>
      </c>
      <c r="V29" t="e">
        <f t="shared" si="3"/>
        <v>#VALUE!</v>
      </c>
    </row>
    <row r="30" spans="1:22" x14ac:dyDescent="0.2">
      <c r="A30" s="42">
        <v>1117</v>
      </c>
      <c r="B30" s="77" t="s">
        <v>15</v>
      </c>
      <c r="C30" s="10">
        <v>67562</v>
      </c>
      <c r="D30" s="5">
        <v>73901</v>
      </c>
      <c r="E30" s="5">
        <v>-6339</v>
      </c>
      <c r="F30" s="10">
        <v>118340</v>
      </c>
      <c r="G30" s="5">
        <v>73198</v>
      </c>
      <c r="H30" s="5">
        <v>45142</v>
      </c>
      <c r="I30" s="10">
        <v>132792</v>
      </c>
      <c r="J30" s="5">
        <v>70149</v>
      </c>
      <c r="K30" s="5">
        <v>62643</v>
      </c>
      <c r="L30" s="10">
        <v>60024</v>
      </c>
      <c r="M30" s="5">
        <v>61439</v>
      </c>
      <c r="N30" s="5">
        <v>-1415</v>
      </c>
      <c r="O30" s="10">
        <f t="shared" si="0"/>
        <v>101446</v>
      </c>
      <c r="P30" s="97">
        <f t="shared" si="1"/>
        <v>0.46695727022909195</v>
      </c>
      <c r="Q30" s="17" t="s">
        <v>44</v>
      </c>
      <c r="R30" s="91" t="str">
        <f>IF($C$4="High Inventory",IF(AND(O30&gt;=Summary!$C$106,P30&gt;=Summary!$C$107),"X"," "),IF(AND(O30&lt;=-Summary!$C$106,P30&lt;=-Summary!$C$107),"X"," "))</f>
        <v>X</v>
      </c>
      <c r="S30" s="21" t="str">
        <f>IF(AND(L30-I30&gt;=Summary!$C$110,N30-K30&gt;Summary!$C$110,N30&gt;0),"X"," ")</f>
        <v xml:space="preserve"> </v>
      </c>
      <c r="T30" s="17" t="str">
        <f>IF($C$4="High Inventory",IF(AND($O30&gt;=Summary!$C$106,$P30&gt;=0%),"X"," "),IF(AND($O30&lt;=-Summary!$C$106,$P30&lt;=0%),"X"," "))</f>
        <v>X</v>
      </c>
      <c r="U30" s="21" t="str">
        <f>IF($C$4="High Inventory",IF(AND($O30&gt;=0,$P30&gt;=Summary!$C$107),"X"," "),IF(AND($O30&lt;=0,$P30&lt;=-Summary!$C$107),"X"," "))</f>
        <v>X</v>
      </c>
      <c r="V30" t="str">
        <f t="shared" si="3"/>
        <v xml:space="preserve"> </v>
      </c>
    </row>
    <row r="31" spans="1:22" x14ac:dyDescent="0.2">
      <c r="A31" s="42">
        <v>1126</v>
      </c>
      <c r="B31" s="77" t="s">
        <v>15</v>
      </c>
      <c r="C31" s="10">
        <v>32765</v>
      </c>
      <c r="D31" s="5">
        <v>28541</v>
      </c>
      <c r="E31" s="5">
        <v>4224</v>
      </c>
      <c r="F31" s="10">
        <v>32918</v>
      </c>
      <c r="G31" s="5">
        <v>26956</v>
      </c>
      <c r="H31" s="5">
        <v>5962</v>
      </c>
      <c r="I31" s="10">
        <v>32918</v>
      </c>
      <c r="J31" s="5">
        <v>27631</v>
      </c>
      <c r="K31" s="5">
        <v>5287</v>
      </c>
      <c r="L31" s="10">
        <v>32918</v>
      </c>
      <c r="M31" s="5">
        <v>26054</v>
      </c>
      <c r="N31" s="5">
        <v>6864</v>
      </c>
      <c r="O31" s="10">
        <f t="shared" ref="O31:O52" si="4">K31+H31+E31</f>
        <v>15473</v>
      </c>
      <c r="P31" s="97">
        <f t="shared" ref="P31:P52" si="5">O31/(J31+G31+D31+1)</f>
        <v>0.18613239663655282</v>
      </c>
      <c r="Q31" s="17" t="s">
        <v>44</v>
      </c>
      <c r="R31" s="91" t="str">
        <f>IF($C$4="High Inventory",IF(AND(O31&gt;=Summary!$C$106,P31&gt;=Summary!$C$107),"X"," "),IF(AND(O31&lt;=-Summary!$C$106,P31&lt;=-Summary!$C$107),"X"," "))</f>
        <v>X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>X</v>
      </c>
      <c r="V31" t="str">
        <f t="shared" si="3"/>
        <v xml:space="preserve"> </v>
      </c>
    </row>
    <row r="32" spans="1:22" x14ac:dyDescent="0.2">
      <c r="A32" s="42">
        <v>1157</v>
      </c>
      <c r="B32" s="77" t="s">
        <v>15</v>
      </c>
      <c r="C32" s="10">
        <v>78703</v>
      </c>
      <c r="D32" s="5">
        <v>82339</v>
      </c>
      <c r="E32" s="5">
        <v>-3636</v>
      </c>
      <c r="F32" s="10">
        <v>103786</v>
      </c>
      <c r="G32" s="5">
        <v>87983</v>
      </c>
      <c r="H32" s="5">
        <v>15803</v>
      </c>
      <c r="I32" s="10">
        <v>112563</v>
      </c>
      <c r="J32" s="5">
        <v>82617</v>
      </c>
      <c r="K32" s="5">
        <v>29946</v>
      </c>
      <c r="L32" s="10">
        <v>69005</v>
      </c>
      <c r="M32" s="5">
        <v>81217</v>
      </c>
      <c r="N32" s="5">
        <v>-12212</v>
      </c>
      <c r="O32" s="10">
        <f t="shared" si="4"/>
        <v>42113</v>
      </c>
      <c r="P32" s="97">
        <f t="shared" si="1"/>
        <v>0.16649403020479164</v>
      </c>
      <c r="Q32" s="17" t="s">
        <v>44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">
      <c r="A33" s="42">
        <v>1281</v>
      </c>
      <c r="B33" s="77" t="s">
        <v>15</v>
      </c>
      <c r="C33" s="10">
        <v>27074</v>
      </c>
      <c r="D33" s="5">
        <v>22700</v>
      </c>
      <c r="E33" s="5">
        <v>4374</v>
      </c>
      <c r="F33" s="10">
        <v>32678</v>
      </c>
      <c r="G33" s="5">
        <v>25629</v>
      </c>
      <c r="H33" s="5">
        <v>7049</v>
      </c>
      <c r="I33" s="10">
        <v>13332</v>
      </c>
      <c r="J33" s="5">
        <v>33632</v>
      </c>
      <c r="K33" s="5">
        <v>-20300</v>
      </c>
      <c r="L33" s="10">
        <v>15448</v>
      </c>
      <c r="M33" s="5">
        <v>19523</v>
      </c>
      <c r="N33" s="5">
        <v>-4075</v>
      </c>
      <c r="O33" s="10">
        <f t="shared" si="0"/>
        <v>-8877</v>
      </c>
      <c r="P33" s="97">
        <f t="shared" si="1"/>
        <v>-0.1083062882799346</v>
      </c>
      <c r="Q33" s="101" t="str">
        <f>" "</f>
        <v xml:space="preserve"> </v>
      </c>
      <c r="R33" s="91" t="str">
        <f>IF($C$4="High Inventory",IF(AND(O33&gt;=Summary!$C$106,P33&gt;=Summary!$C$107),"X"," "),IF(AND(O33&lt;=-Summary!$C$106,P33&lt;=-Summary!$C$107),"X"," "))</f>
        <v xml:space="preserve"> 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 xml:space="preserve"> </v>
      </c>
      <c r="U33" s="21" t="str">
        <f>IF($C$4="High Inventory",IF(AND($O33&gt;=0,$P33&gt;=Summary!$C$107),"X"," "),IF(AND($O33&lt;=0,$P33&lt;=-Summary!$C$107),"X"," "))</f>
        <v xml:space="preserve"> </v>
      </c>
      <c r="V33" t="str">
        <f t="shared" si="3"/>
        <v xml:space="preserve"> </v>
      </c>
    </row>
    <row r="34" spans="1:22" x14ac:dyDescent="0.2">
      <c r="A34" s="42">
        <v>1340</v>
      </c>
      <c r="B34" s="77" t="s">
        <v>15</v>
      </c>
      <c r="C34" s="10">
        <v>5218</v>
      </c>
      <c r="D34" s="5">
        <v>5614</v>
      </c>
      <c r="E34" s="5">
        <v>-396</v>
      </c>
      <c r="F34" s="10">
        <v>8218</v>
      </c>
      <c r="G34" s="5">
        <v>4887</v>
      </c>
      <c r="H34" s="5">
        <v>3331</v>
      </c>
      <c r="I34" s="10">
        <v>8218</v>
      </c>
      <c r="J34" s="5">
        <v>4461</v>
      </c>
      <c r="K34" s="5">
        <v>3757</v>
      </c>
      <c r="L34" s="10">
        <v>5218</v>
      </c>
      <c r="M34" s="5">
        <v>2770</v>
      </c>
      <c r="N34" s="5">
        <v>2448</v>
      </c>
      <c r="O34" s="10">
        <f t="shared" si="0"/>
        <v>6692</v>
      </c>
      <c r="P34" s="97">
        <f t="shared" si="1"/>
        <v>0.44723651674129522</v>
      </c>
      <c r="Q34" s="101" t="str">
        <f>" "</f>
        <v xml:space="preserve"> </v>
      </c>
      <c r="R34" s="91" t="str">
        <f>IF($C$4="High Inventory",IF(AND(O34&gt;=Summary!$C$106,P34&gt;=Summary!$C$107),"X"," "),IF(AND(O34&lt;=-Summary!$C$106,P34&lt;=-Summary!$C$107),"X"," "))</f>
        <v>X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>X</v>
      </c>
      <c r="U34" s="21" t="str">
        <f>IF($C$4="High Inventory",IF(AND($O34&gt;=0,$P34&gt;=Summary!$C$107),"X"," "),IF(AND($O34&lt;=0,$P34&lt;=-Summary!$C$107),"X"," "))</f>
        <v>X</v>
      </c>
      <c r="V34" t="str">
        <f t="shared" si="3"/>
        <v xml:space="preserve"> </v>
      </c>
    </row>
    <row r="35" spans="1:22" x14ac:dyDescent="0.2">
      <c r="A35" s="42">
        <v>1377</v>
      </c>
      <c r="B35" s="77" t="s">
        <v>15</v>
      </c>
      <c r="C35" s="10">
        <v>44696</v>
      </c>
      <c r="D35" s="5">
        <v>65214</v>
      </c>
      <c r="E35" s="5">
        <v>-20518</v>
      </c>
      <c r="F35" s="10">
        <v>76915</v>
      </c>
      <c r="G35" s="5">
        <v>76037</v>
      </c>
      <c r="H35" s="5">
        <v>878</v>
      </c>
      <c r="I35" s="10">
        <v>85873</v>
      </c>
      <c r="J35" s="5">
        <v>74593</v>
      </c>
      <c r="K35" s="5">
        <v>11280</v>
      </c>
      <c r="L35" s="10">
        <v>54763</v>
      </c>
      <c r="M35" s="5">
        <v>62060</v>
      </c>
      <c r="N35" s="5">
        <v>-7297</v>
      </c>
      <c r="O35" s="10">
        <f t="shared" si="4"/>
        <v>-8360</v>
      </c>
      <c r="P35" s="97">
        <f t="shared" si="5"/>
        <v>-3.8731497139150778E-2</v>
      </c>
      <c r="Q35" s="17" t="s">
        <v>44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3"/>
        <v xml:space="preserve"> </v>
      </c>
    </row>
    <row r="36" spans="1:22" x14ac:dyDescent="0.2">
      <c r="A36" s="42">
        <v>1830</v>
      </c>
      <c r="B36" s="77" t="s">
        <v>15</v>
      </c>
      <c r="C36" s="10">
        <v>0</v>
      </c>
      <c r="D36" s="5">
        <v>1</v>
      </c>
      <c r="E36" s="5">
        <v>-1</v>
      </c>
      <c r="F36" s="10">
        <v>0</v>
      </c>
      <c r="G36" s="5">
        <v>1</v>
      </c>
      <c r="H36" s="5">
        <v>-1</v>
      </c>
      <c r="I36" s="10">
        <v>0</v>
      </c>
      <c r="J36" s="5">
        <v>1</v>
      </c>
      <c r="K36" s="5">
        <v>-1</v>
      </c>
      <c r="L36" s="10">
        <v>0</v>
      </c>
      <c r="M36" s="5">
        <v>1</v>
      </c>
      <c r="N36" s="5">
        <v>-1</v>
      </c>
      <c r="O36" s="10">
        <f t="shared" si="4"/>
        <v>-3</v>
      </c>
      <c r="P36" s="97">
        <f t="shared" si="5"/>
        <v>-0.75</v>
      </c>
      <c r="Q36" s="101" t="str">
        <f t="shared" ref="Q36:Q95" si="6">" "</f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 xml:space="preserve"> </v>
      </c>
      <c r="U36" s="21" t="str">
        <f>IF($C$4="High Inventory",IF(AND($O36&gt;=0,$P36&gt;=Summary!$C$107),"X"," "),IF(AND($O36&lt;=0,$P36&lt;=-Summary!$C$107),"X"," "))</f>
        <v xml:space="preserve"> </v>
      </c>
      <c r="V36" t="str">
        <f t="shared" si="3"/>
        <v xml:space="preserve"> </v>
      </c>
    </row>
    <row r="37" spans="1:22" x14ac:dyDescent="0.2">
      <c r="A37" s="42">
        <v>1864</v>
      </c>
      <c r="B37" s="77" t="s">
        <v>15</v>
      </c>
      <c r="C37" s="10">
        <v>81856</v>
      </c>
      <c r="D37" s="5">
        <v>91626</v>
      </c>
      <c r="E37" s="5">
        <v>-9770</v>
      </c>
      <c r="F37" s="10">
        <v>66766</v>
      </c>
      <c r="G37" s="5">
        <v>58873</v>
      </c>
      <c r="H37" s="5">
        <v>7893</v>
      </c>
      <c r="I37" s="10">
        <v>24235</v>
      </c>
      <c r="J37" s="5">
        <v>72347</v>
      </c>
      <c r="K37" s="5">
        <v>-48112</v>
      </c>
      <c r="L37" s="10">
        <v>50052</v>
      </c>
      <c r="M37" s="5">
        <v>67346</v>
      </c>
      <c r="N37" s="5">
        <v>-17294</v>
      </c>
      <c r="O37" s="10">
        <f t="shared" si="0"/>
        <v>-49989</v>
      </c>
      <c r="P37" s="97">
        <f t="shared" si="1"/>
        <v>-0.22431982481253954</v>
      </c>
      <c r="Q37" s="101" t="str">
        <f t="shared" si="6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">
      <c r="A38" s="42">
        <v>1922</v>
      </c>
      <c r="B38" s="77" t="s">
        <v>15</v>
      </c>
      <c r="C38" s="10">
        <v>38444</v>
      </c>
      <c r="D38" s="5">
        <v>38999</v>
      </c>
      <c r="E38" s="5">
        <v>-555</v>
      </c>
      <c r="F38" s="10">
        <v>41440</v>
      </c>
      <c r="G38" s="5">
        <v>40702</v>
      </c>
      <c r="H38" s="5">
        <v>738</v>
      </c>
      <c r="I38" s="10">
        <v>11442</v>
      </c>
      <c r="J38" s="5">
        <v>44009</v>
      </c>
      <c r="K38" s="5">
        <v>-32567</v>
      </c>
      <c r="L38" s="10">
        <v>45832</v>
      </c>
      <c r="M38" s="5">
        <v>35785</v>
      </c>
      <c r="N38" s="5">
        <v>10047</v>
      </c>
      <c r="O38" s="10">
        <f t="shared" si="0"/>
        <v>-32384</v>
      </c>
      <c r="P38" s="97">
        <f t="shared" si="1"/>
        <v>-0.26177138653797966</v>
      </c>
      <c r="Q38" s="101" t="str">
        <f t="shared" si="6"/>
        <v xml:space="preserve"> 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>X</v>
      </c>
      <c r="T38" s="17" t="str">
        <f>IF($C$4="High Inventory",IF(AND($O38&gt;=Summary!$C$106,$P38&gt;=0%),"X"," "),IF(AND($O38&lt;=-Summary!$C$106,$P38&lt;=0%),"X"," "))</f>
        <v xml:space="preserve"> </v>
      </c>
      <c r="U38" s="21" t="str">
        <f>IF($C$4="High Inventory",IF(AND($O38&gt;=0,$P38&gt;=Summary!$C$107),"X"," "),IF(AND($O38&lt;=0,$P38&lt;=-Summary!$C$107),"X"," "))</f>
        <v xml:space="preserve"> </v>
      </c>
      <c r="V38">
        <f t="shared" si="3"/>
        <v>34390</v>
      </c>
    </row>
    <row r="39" spans="1:22" x14ac:dyDescent="0.2">
      <c r="A39" s="42">
        <v>1928</v>
      </c>
      <c r="B39" s="77" t="s">
        <v>15</v>
      </c>
      <c r="C39" s="10">
        <v>16689</v>
      </c>
      <c r="D39" s="5">
        <v>16030</v>
      </c>
      <c r="E39" s="5">
        <v>659</v>
      </c>
      <c r="F39" s="10">
        <v>20189</v>
      </c>
      <c r="G39" s="5">
        <v>15383</v>
      </c>
      <c r="H39" s="5">
        <v>4806</v>
      </c>
      <c r="I39" s="10">
        <v>21689</v>
      </c>
      <c r="J39" s="5">
        <v>15202</v>
      </c>
      <c r="K39" s="5">
        <v>6487</v>
      </c>
      <c r="L39" s="10">
        <v>16689</v>
      </c>
      <c r="M39" s="5">
        <v>15446</v>
      </c>
      <c r="N39" s="5">
        <v>1243</v>
      </c>
      <c r="O39" s="10">
        <f t="shared" si="0"/>
        <v>11952</v>
      </c>
      <c r="P39" s="97">
        <f t="shared" si="1"/>
        <v>0.25639265488244378</v>
      </c>
      <c r="Q39" s="101" t="str">
        <f t="shared" si="6"/>
        <v xml:space="preserve"> </v>
      </c>
      <c r="R39" s="91" t="str">
        <f>IF($C$4="High Inventory",IF(AND(O39&gt;=Summary!$C$106,P39&gt;=Summary!$C$107),"X"," "),IF(AND(O39&lt;=-Summary!$C$106,P39&lt;=-Summary!$C$107),"X"," "))</f>
        <v>X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3"/>
        <v xml:space="preserve"> </v>
      </c>
    </row>
    <row r="40" spans="1:22" x14ac:dyDescent="0.2">
      <c r="A40" s="42">
        <v>2056</v>
      </c>
      <c r="B40" s="77" t="s">
        <v>15</v>
      </c>
      <c r="C40" s="10">
        <v>80452</v>
      </c>
      <c r="D40" s="5">
        <v>78263</v>
      </c>
      <c r="E40" s="5">
        <v>2189</v>
      </c>
      <c r="F40" s="10">
        <v>70453</v>
      </c>
      <c r="G40" s="5">
        <v>73427</v>
      </c>
      <c r="H40" s="5">
        <v>-2974</v>
      </c>
      <c r="I40" s="10">
        <v>62368</v>
      </c>
      <c r="J40" s="5">
        <v>74288</v>
      </c>
      <c r="K40" s="5">
        <v>-11920</v>
      </c>
      <c r="L40" s="10">
        <v>62368</v>
      </c>
      <c r="M40" s="5">
        <v>64865</v>
      </c>
      <c r="N40" s="5">
        <v>-2497</v>
      </c>
      <c r="O40" s="10">
        <f t="shared" si="4"/>
        <v>-12705</v>
      </c>
      <c r="P40" s="97">
        <f t="shared" si="5"/>
        <v>-5.6222038330995358E-2</v>
      </c>
      <c r="Q40" s="101" t="str">
        <f t="shared" si="6"/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">
      <c r="A41" s="42">
        <v>2280</v>
      </c>
      <c r="B41" s="77" t="s">
        <v>15</v>
      </c>
      <c r="C41" s="10">
        <v>5808</v>
      </c>
      <c r="D41" s="5">
        <v>7350</v>
      </c>
      <c r="E41" s="5">
        <v>-1542</v>
      </c>
      <c r="F41" s="10">
        <v>5808</v>
      </c>
      <c r="G41" s="5">
        <v>6582</v>
      </c>
      <c r="H41" s="5">
        <v>-774</v>
      </c>
      <c r="I41" s="10">
        <v>5808</v>
      </c>
      <c r="J41" s="5">
        <v>6816</v>
      </c>
      <c r="K41" s="5">
        <v>-1008</v>
      </c>
      <c r="L41" s="10">
        <v>5808</v>
      </c>
      <c r="M41" s="5">
        <v>4242</v>
      </c>
      <c r="N41" s="5">
        <v>1566</v>
      </c>
      <c r="O41" s="10">
        <f t="shared" si="4"/>
        <v>-3324</v>
      </c>
      <c r="P41" s="97">
        <f t="shared" si="5"/>
        <v>-0.16020049158995614</v>
      </c>
      <c r="Q41" s="101" t="str">
        <f t="shared" si="6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">
      <c r="A42" s="42">
        <v>2584</v>
      </c>
      <c r="B42" s="77" t="s">
        <v>15</v>
      </c>
      <c r="C42" s="10">
        <v>50161</v>
      </c>
      <c r="D42" s="5">
        <v>52097</v>
      </c>
      <c r="E42" s="5">
        <v>-1936</v>
      </c>
      <c r="F42" s="10">
        <v>60937</v>
      </c>
      <c r="G42" s="5">
        <v>55134</v>
      </c>
      <c r="H42" s="5">
        <v>5803</v>
      </c>
      <c r="I42" s="10">
        <v>60937</v>
      </c>
      <c r="J42" s="5">
        <v>54058</v>
      </c>
      <c r="K42" s="5">
        <v>6879</v>
      </c>
      <c r="L42" s="10">
        <v>44082</v>
      </c>
      <c r="M42" s="5">
        <v>44785</v>
      </c>
      <c r="N42" s="5">
        <v>-703</v>
      </c>
      <c r="O42" s="10">
        <f t="shared" si="4"/>
        <v>10746</v>
      </c>
      <c r="P42" s="97">
        <f t="shared" si="5"/>
        <v>6.6625333250666496E-2</v>
      </c>
      <c r="Q42" s="17" t="s">
        <v>44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>X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7">IF(S42 = "X",L42-I42," ")</f>
        <v xml:space="preserve"> </v>
      </c>
    </row>
    <row r="43" spans="1:22" x14ac:dyDescent="0.2">
      <c r="A43" s="42">
        <v>2771</v>
      </c>
      <c r="B43" s="77" t="s">
        <v>15</v>
      </c>
      <c r="C43" s="10">
        <v>25962</v>
      </c>
      <c r="D43" s="5">
        <v>31499</v>
      </c>
      <c r="E43" s="5">
        <v>-5537</v>
      </c>
      <c r="F43" s="10">
        <v>38014</v>
      </c>
      <c r="G43" s="5">
        <v>31488</v>
      </c>
      <c r="H43" s="5">
        <v>6526</v>
      </c>
      <c r="I43" s="10">
        <v>18462</v>
      </c>
      <c r="J43" s="5">
        <v>33202</v>
      </c>
      <c r="K43" s="5">
        <v>-14740</v>
      </c>
      <c r="L43" s="10">
        <v>61402</v>
      </c>
      <c r="M43" s="5">
        <v>19224</v>
      </c>
      <c r="N43" s="5">
        <v>42178</v>
      </c>
      <c r="O43" s="10">
        <f t="shared" si="0"/>
        <v>-13751</v>
      </c>
      <c r="P43" s="97">
        <f t="shared" si="1"/>
        <v>-0.1429566483002391</v>
      </c>
      <c r="Q43" s="101" t="str">
        <f t="shared" si="6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>X</v>
      </c>
      <c r="T43" s="17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>
        <f t="shared" si="7"/>
        <v>42940</v>
      </c>
    </row>
    <row r="44" spans="1:22" x14ac:dyDescent="0.2">
      <c r="A44" s="42">
        <v>2832</v>
      </c>
      <c r="B44" s="77" t="s">
        <v>15</v>
      </c>
      <c r="C44" s="10">
        <v>3600</v>
      </c>
      <c r="D44" s="5">
        <v>5923</v>
      </c>
      <c r="E44" s="5">
        <v>-2323</v>
      </c>
      <c r="F44" s="10">
        <v>3600</v>
      </c>
      <c r="G44" s="5">
        <v>6055</v>
      </c>
      <c r="H44" s="5">
        <v>-2455</v>
      </c>
      <c r="I44" s="10">
        <v>8600</v>
      </c>
      <c r="J44" s="5">
        <v>6539</v>
      </c>
      <c r="K44" s="5">
        <v>2061</v>
      </c>
      <c r="L44" s="10">
        <v>3600</v>
      </c>
      <c r="M44" s="5">
        <v>5176</v>
      </c>
      <c r="N44" s="5">
        <v>-1576</v>
      </c>
      <c r="O44" s="10">
        <f t="shared" si="4"/>
        <v>-2717</v>
      </c>
      <c r="P44" s="97">
        <f t="shared" si="5"/>
        <v>-0.14672210821903015</v>
      </c>
      <c r="Q44" s="101" t="str">
        <f t="shared" si="6"/>
        <v xml:space="preserve"> </v>
      </c>
      <c r="R44" s="91" t="str">
        <f>IF($C$4="High Inventory",IF(AND(O44&gt;=Summary!$C$106,P44&gt;=Summary!$C$107),"X"," "),IF(AND(O44&lt;=-Summary!$C$106,P44&lt;=-Summary!$C$107),"X"," "))</f>
        <v xml:space="preserve"> 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 xml:space="preserve"> </v>
      </c>
      <c r="U44" s="21" t="str">
        <f>IF($C$4="High Inventory",IF(AND($O44&gt;=0,$P44&gt;=Summary!$C$107),"X"," "),IF(AND($O44&lt;=0,$P44&lt;=-Summary!$C$107),"X"," "))</f>
        <v xml:space="preserve"> </v>
      </c>
      <c r="V44" t="str">
        <f t="shared" si="7"/>
        <v xml:space="preserve"> </v>
      </c>
    </row>
    <row r="45" spans="1:22" x14ac:dyDescent="0.2">
      <c r="A45" s="42">
        <v>2892</v>
      </c>
      <c r="B45" s="77" t="s">
        <v>15</v>
      </c>
      <c r="C45" s="10">
        <v>170</v>
      </c>
      <c r="D45" s="5">
        <v>208</v>
      </c>
      <c r="E45" s="5">
        <v>-38</v>
      </c>
      <c r="F45" s="10">
        <v>170</v>
      </c>
      <c r="G45" s="5">
        <v>209</v>
      </c>
      <c r="H45" s="5">
        <v>-39</v>
      </c>
      <c r="I45" s="10">
        <v>170</v>
      </c>
      <c r="J45" s="5">
        <v>234</v>
      </c>
      <c r="K45" s="5">
        <v>-64</v>
      </c>
      <c r="L45" s="10">
        <v>170</v>
      </c>
      <c r="M45" s="5">
        <v>235</v>
      </c>
      <c r="N45" s="5">
        <v>-65</v>
      </c>
      <c r="O45" s="10">
        <f t="shared" si="4"/>
        <v>-141</v>
      </c>
      <c r="P45" s="97">
        <f t="shared" si="5"/>
        <v>-0.21625766871165644</v>
      </c>
      <c r="Q45" s="101" t="str">
        <f t="shared" si="6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7"/>
        <v xml:space="preserve"> </v>
      </c>
    </row>
    <row r="46" spans="1:22" x14ac:dyDescent="0.2">
      <c r="A46" s="42">
        <v>3015</v>
      </c>
      <c r="B46" s="77" t="s">
        <v>15</v>
      </c>
      <c r="C46" s="10">
        <v>19747</v>
      </c>
      <c r="D46" s="5">
        <v>19722</v>
      </c>
      <c r="E46" s="5">
        <v>25</v>
      </c>
      <c r="F46" s="10">
        <v>8511</v>
      </c>
      <c r="G46" s="5">
        <v>19994</v>
      </c>
      <c r="H46" s="5">
        <v>-11483</v>
      </c>
      <c r="I46" s="10">
        <v>22795</v>
      </c>
      <c r="J46" s="5">
        <v>20649</v>
      </c>
      <c r="K46" s="5">
        <v>2146</v>
      </c>
      <c r="L46" s="10">
        <v>22795</v>
      </c>
      <c r="M46" s="5">
        <v>19600</v>
      </c>
      <c r="N46" s="5">
        <v>3195</v>
      </c>
      <c r="O46" s="10">
        <f t="shared" si="4"/>
        <v>-9312</v>
      </c>
      <c r="P46" s="97">
        <f t="shared" si="5"/>
        <v>-0.15425901997813338</v>
      </c>
      <c r="Q46" s="101" t="str">
        <f t="shared" si="6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7"/>
        <v xml:space="preserve"> </v>
      </c>
    </row>
    <row r="47" spans="1:22" x14ac:dyDescent="0.2">
      <c r="A47" s="42">
        <v>4303</v>
      </c>
      <c r="B47" s="77" t="s">
        <v>15</v>
      </c>
      <c r="C47" s="10">
        <v>3708</v>
      </c>
      <c r="D47" s="5">
        <v>3240</v>
      </c>
      <c r="E47" s="5">
        <v>468</v>
      </c>
      <c r="F47" s="10">
        <v>4608</v>
      </c>
      <c r="G47" s="5">
        <v>3349</v>
      </c>
      <c r="H47" s="5">
        <v>1259</v>
      </c>
      <c r="I47" s="10">
        <v>4388</v>
      </c>
      <c r="J47" s="5">
        <v>3356</v>
      </c>
      <c r="K47" s="5">
        <v>1032</v>
      </c>
      <c r="L47" s="10">
        <v>4420</v>
      </c>
      <c r="M47" s="5">
        <v>2676</v>
      </c>
      <c r="N47" s="5">
        <v>1744</v>
      </c>
      <c r="O47" s="10">
        <f t="shared" si="4"/>
        <v>2759</v>
      </c>
      <c r="P47" s="97">
        <f t="shared" si="5"/>
        <v>0.27739794892419062</v>
      </c>
      <c r="Q47" s="101" t="str">
        <f t="shared" si="6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>X</v>
      </c>
      <c r="V47" t="str">
        <f t="shared" si="7"/>
        <v xml:space="preserve"> </v>
      </c>
    </row>
    <row r="48" spans="1:22" x14ac:dyDescent="0.2">
      <c r="A48" s="42">
        <v>4438</v>
      </c>
      <c r="B48" s="77" t="s">
        <v>15</v>
      </c>
      <c r="C48" s="10">
        <v>58968</v>
      </c>
      <c r="D48" s="5">
        <v>56368</v>
      </c>
      <c r="E48" s="5">
        <v>2600</v>
      </c>
      <c r="F48" s="10">
        <v>41467</v>
      </c>
      <c r="G48" s="5">
        <v>56123</v>
      </c>
      <c r="H48" s="5">
        <v>-14656</v>
      </c>
      <c r="I48" s="10">
        <v>48967</v>
      </c>
      <c r="J48" s="5">
        <v>57936</v>
      </c>
      <c r="K48" s="5">
        <v>-8969</v>
      </c>
      <c r="L48" s="10">
        <v>58968</v>
      </c>
      <c r="M48" s="5">
        <v>54783</v>
      </c>
      <c r="N48" s="5">
        <v>4185</v>
      </c>
      <c r="O48" s="10">
        <f t="shared" si="0"/>
        <v>-21025</v>
      </c>
      <c r="P48" s="97">
        <f t="shared" si="1"/>
        <v>-0.12336587884619898</v>
      </c>
      <c r="Q48" s="101" t="str">
        <f t="shared" si="6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>X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>
        <f t="shared" si="7"/>
        <v>10001</v>
      </c>
    </row>
    <row r="49" spans="1:22" x14ac:dyDescent="0.2">
      <c r="A49" s="42">
        <v>4760</v>
      </c>
      <c r="B49" s="77" t="s">
        <v>15</v>
      </c>
      <c r="C49" s="10">
        <v>244429</v>
      </c>
      <c r="D49" s="5">
        <v>264952</v>
      </c>
      <c r="E49" s="5">
        <v>-20523</v>
      </c>
      <c r="F49" s="10">
        <v>281270</v>
      </c>
      <c r="G49" s="5">
        <v>256279</v>
      </c>
      <c r="H49" s="5">
        <v>24991</v>
      </c>
      <c r="I49" s="10">
        <v>251298</v>
      </c>
      <c r="J49" s="5">
        <v>248997</v>
      </c>
      <c r="K49" s="5">
        <v>2301</v>
      </c>
      <c r="L49" s="10">
        <v>91298</v>
      </c>
      <c r="M49" s="5">
        <v>90218</v>
      </c>
      <c r="N49" s="5">
        <v>1080</v>
      </c>
      <c r="O49" s="10">
        <f t="shared" si="4"/>
        <v>6769</v>
      </c>
      <c r="P49" s="97">
        <f t="shared" si="5"/>
        <v>8.7882954290217589E-3</v>
      </c>
      <c r="Q49" s="17" t="s">
        <v>44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>X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7"/>
        <v xml:space="preserve"> </v>
      </c>
    </row>
    <row r="50" spans="1:22" x14ac:dyDescent="0.2">
      <c r="A50" s="42">
        <v>6084</v>
      </c>
      <c r="B50" s="77" t="s">
        <v>15</v>
      </c>
      <c r="C50" s="10">
        <v>0</v>
      </c>
      <c r="D50" s="5">
        <v>3</v>
      </c>
      <c r="E50" s="5">
        <v>-3</v>
      </c>
      <c r="F50" s="10">
        <v>0</v>
      </c>
      <c r="G50" s="5">
        <v>6</v>
      </c>
      <c r="H50" s="5">
        <v>-6</v>
      </c>
      <c r="I50" s="10">
        <v>0</v>
      </c>
      <c r="J50" s="5">
        <v>70</v>
      </c>
      <c r="K50" s="5">
        <v>-70</v>
      </c>
      <c r="L50" s="10">
        <v>0</v>
      </c>
      <c r="M50" s="5">
        <v>94</v>
      </c>
      <c r="N50" s="5">
        <v>-94</v>
      </c>
      <c r="O50" s="10">
        <f t="shared" si="0"/>
        <v>-79</v>
      </c>
      <c r="P50" s="97">
        <f t="shared" si="1"/>
        <v>-0.98750000000000004</v>
      </c>
      <c r="Q50" s="101" t="str">
        <f t="shared" si="6"/>
        <v xml:space="preserve"> 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7"/>
        <v xml:space="preserve"> </v>
      </c>
    </row>
    <row r="51" spans="1:22" x14ac:dyDescent="0.2">
      <c r="A51" s="42">
        <v>6728</v>
      </c>
      <c r="B51" s="77" t="s">
        <v>15</v>
      </c>
      <c r="C51" s="10">
        <v>18000</v>
      </c>
      <c r="D51" s="5">
        <v>19956</v>
      </c>
      <c r="E51" s="5">
        <v>-1956</v>
      </c>
      <c r="F51" s="10">
        <v>18000</v>
      </c>
      <c r="G51" s="5">
        <v>19088</v>
      </c>
      <c r="H51" s="5">
        <v>-1088</v>
      </c>
      <c r="I51" s="10">
        <v>18000</v>
      </c>
      <c r="J51" s="5">
        <v>20509</v>
      </c>
      <c r="K51" s="5">
        <v>-2509</v>
      </c>
      <c r="L51" s="10">
        <v>16000</v>
      </c>
      <c r="M51" s="5">
        <v>15619</v>
      </c>
      <c r="N51" s="5">
        <v>381</v>
      </c>
      <c r="O51" s="10">
        <f t="shared" si="0"/>
        <v>-5553</v>
      </c>
      <c r="P51" s="97">
        <f t="shared" si="1"/>
        <v>-9.3243107096080871E-2</v>
      </c>
      <c r="Q51" s="101" t="str">
        <f t="shared" si="6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7"/>
        <v xml:space="preserve"> </v>
      </c>
    </row>
    <row r="52" spans="1:22" x14ac:dyDescent="0.2">
      <c r="A52" s="42">
        <v>12296</v>
      </c>
      <c r="B52" s="77" t="s">
        <v>15</v>
      </c>
      <c r="C52" s="10">
        <v>26985</v>
      </c>
      <c r="D52" s="5">
        <v>26385</v>
      </c>
      <c r="E52" s="5">
        <v>600</v>
      </c>
      <c r="F52" s="10">
        <v>26985</v>
      </c>
      <c r="G52" s="5">
        <v>27249</v>
      </c>
      <c r="H52" s="5">
        <v>-264</v>
      </c>
      <c r="I52" s="10">
        <v>26985</v>
      </c>
      <c r="J52" s="5">
        <v>27265</v>
      </c>
      <c r="K52" s="5">
        <v>-280</v>
      </c>
      <c r="L52" s="10">
        <v>26985</v>
      </c>
      <c r="M52" s="5">
        <v>26252</v>
      </c>
      <c r="N52" s="5">
        <v>733</v>
      </c>
      <c r="O52" s="10">
        <f t="shared" si="4"/>
        <v>56</v>
      </c>
      <c r="P52" s="97">
        <f t="shared" si="5"/>
        <v>6.9221260815822006E-4</v>
      </c>
      <c r="Q52" s="101" t="str">
        <f t="shared" si="6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 xml:space="preserve"> </v>
      </c>
      <c r="U52" s="21" t="str">
        <f>IF($C$4="High Inventory",IF(AND($O52&gt;=0,$P52&gt;=Summary!$C$107),"X"," "),IF(AND($O52&lt;=0,$P52&lt;=-Summary!$C$107),"X"," "))</f>
        <v xml:space="preserve"> </v>
      </c>
      <c r="V52" t="str">
        <f t="shared" si="7"/>
        <v xml:space="preserve"> </v>
      </c>
    </row>
    <row r="53" spans="1:22" x14ac:dyDescent="0.2">
      <c r="A53" s="42">
        <v>21856</v>
      </c>
      <c r="B53" s="77" t="s">
        <v>15</v>
      </c>
      <c r="C53" s="10">
        <v>7740</v>
      </c>
      <c r="D53" s="5">
        <v>4406</v>
      </c>
      <c r="E53" s="5">
        <v>3334</v>
      </c>
      <c r="F53" s="10">
        <v>7740</v>
      </c>
      <c r="G53" s="5">
        <v>5191</v>
      </c>
      <c r="H53" s="5">
        <v>2549</v>
      </c>
      <c r="I53" s="10">
        <v>7740</v>
      </c>
      <c r="J53" s="5">
        <v>6387</v>
      </c>
      <c r="K53" s="5">
        <v>1353</v>
      </c>
      <c r="L53" s="10">
        <v>6590</v>
      </c>
      <c r="M53" s="5">
        <v>6812</v>
      </c>
      <c r="N53" s="5">
        <v>-222</v>
      </c>
      <c r="O53" s="10">
        <f t="shared" si="0"/>
        <v>7236</v>
      </c>
      <c r="P53" s="97">
        <f t="shared" si="1"/>
        <v>0.45267438223334378</v>
      </c>
      <c r="Q53" s="101" t="str">
        <f t="shared" si="6"/>
        <v xml:space="preserve"> </v>
      </c>
      <c r="R53" s="91" t="str">
        <f>IF($C$4="High Inventory",IF(AND(O53&gt;=Summary!$C$106,P53&gt;=Summary!$C$107),"X"," "),IF(AND(O53&lt;=-Summary!$C$106,P53&lt;=-Summary!$C$107),"X"," "))</f>
        <v>X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>X</v>
      </c>
      <c r="U53" s="21" t="str">
        <f>IF($C$4="High Inventory",IF(AND($O53&gt;=0,$P53&gt;=Summary!$C$107),"X"," "),IF(AND($O53&lt;=0,$P53&lt;=-Summary!$C$107),"X"," "))</f>
        <v>X</v>
      </c>
      <c r="V53" t="str">
        <f t="shared" si="7"/>
        <v xml:space="preserve"> </v>
      </c>
    </row>
    <row r="54" spans="1:22" hidden="1" x14ac:dyDescent="0.2">
      <c r="A54" s="42"/>
      <c r="B54" s="77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ref="O54:O72" si="8">K54+H54+E54</f>
        <v>0</v>
      </c>
      <c r="P54" s="97">
        <f t="shared" ref="P54:P72" si="9">O54/(J54+G54+D54+1)</f>
        <v>0</v>
      </c>
      <c r="Q54" s="101" t="str">
        <f t="shared" si="6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7"/>
        <v xml:space="preserve"> </v>
      </c>
    </row>
    <row r="55" spans="1:22" hidden="1" x14ac:dyDescent="0.2">
      <c r="A55" s="42" t="s">
        <v>16</v>
      </c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8"/>
        <v>0</v>
      </c>
      <c r="P55" s="97">
        <f t="shared" si="9"/>
        <v>0</v>
      </c>
      <c r="Q55" s="101" t="str">
        <f t="shared" si="6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7"/>
        <v xml:space="preserve"> </v>
      </c>
    </row>
    <row r="56" spans="1:22" hidden="1" x14ac:dyDescent="0.2">
      <c r="A56" s="42"/>
      <c r="B56" s="77"/>
      <c r="C56" s="15">
        <v>36628</v>
      </c>
      <c r="D56" s="5"/>
      <c r="E56" s="6"/>
      <c r="F56" s="15">
        <v>36629</v>
      </c>
      <c r="G56" s="5"/>
      <c r="H56" s="6"/>
      <c r="I56" s="15">
        <v>36630</v>
      </c>
      <c r="J56" s="5"/>
      <c r="K56" s="6"/>
      <c r="L56" s="15">
        <v>36631</v>
      </c>
      <c r="M56" s="5"/>
      <c r="N56" s="6"/>
      <c r="O56" s="10">
        <f t="shared" si="8"/>
        <v>0</v>
      </c>
      <c r="P56" s="97">
        <f t="shared" si="9"/>
        <v>0</v>
      </c>
      <c r="Q56" s="101" t="str">
        <f t="shared" si="6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7"/>
        <v xml:space="preserve"> </v>
      </c>
    </row>
    <row r="57" spans="1:22" hidden="1" x14ac:dyDescent="0.2">
      <c r="A57" s="42" t="s">
        <v>6</v>
      </c>
      <c r="B57" s="77" t="s">
        <v>7</v>
      </c>
      <c r="C57" s="15" t="s">
        <v>37</v>
      </c>
      <c r="D57" s="5" t="s">
        <v>40</v>
      </c>
      <c r="E57" s="5" t="s">
        <v>41</v>
      </c>
      <c r="F57" s="15" t="s">
        <v>37</v>
      </c>
      <c r="G57" s="5" t="s">
        <v>40</v>
      </c>
      <c r="H57" s="5" t="s">
        <v>41</v>
      </c>
      <c r="I57" s="15" t="s">
        <v>37</v>
      </c>
      <c r="J57" s="5" t="s">
        <v>40</v>
      </c>
      <c r="K57" s="5" t="s">
        <v>41</v>
      </c>
      <c r="L57" s="15" t="s">
        <v>37</v>
      </c>
      <c r="M57" s="5" t="s">
        <v>40</v>
      </c>
      <c r="N57" s="5" t="s">
        <v>41</v>
      </c>
      <c r="O57" s="10" t="e">
        <f t="shared" si="8"/>
        <v>#VALUE!</v>
      </c>
      <c r="P57" s="97" t="e">
        <f t="shared" si="9"/>
        <v>#VALUE!</v>
      </c>
      <c r="Q57" s="101" t="str">
        <f t="shared" si="6"/>
        <v xml:space="preserve"> </v>
      </c>
      <c r="R57" s="91" t="e">
        <f>IF($C$4="High Inventory",IF(AND(O57&gt;=Summary!$C$106,P57&gt;=Summary!$C$107),"X"," "),IF(AND(O57&lt;=-Summary!$C$106,P57&lt;=-Summary!$C$107),"X"," "))</f>
        <v>#VALUE!</v>
      </c>
      <c r="S57" s="21" t="e">
        <f>IF(AND(L57-I57&gt;=Summary!$C$110,N57-K57&gt;Summary!$C$110,N57&gt;0),"X"," ")</f>
        <v>#VALUE!</v>
      </c>
      <c r="T57" s="17" t="e">
        <f>IF($C$4="High Inventory",IF(AND($O57&gt;=Summary!$C$106,$P57&gt;=0%),"X"," "),IF(AND($O57&lt;=-Summary!$C$106,$P57&lt;=0%),"X"," "))</f>
        <v>#VALUE!</v>
      </c>
      <c r="U57" s="21" t="e">
        <f>IF($C$4="High Inventory",IF(AND($O57&gt;=0,$P57&gt;=Summary!$C$107),"X"," "),IF(AND($O57&lt;=0,$P57&lt;=-Summary!$C$107),"X"," "))</f>
        <v>#VALUE!</v>
      </c>
      <c r="V57" t="e">
        <f t="shared" si="7"/>
        <v>#VALUE!</v>
      </c>
    </row>
    <row r="58" spans="1:22" x14ac:dyDescent="0.2">
      <c r="A58" s="42">
        <v>51</v>
      </c>
      <c r="B58" s="77" t="s">
        <v>17</v>
      </c>
      <c r="C58" s="10">
        <v>14251</v>
      </c>
      <c r="D58" s="5">
        <v>11367</v>
      </c>
      <c r="E58" s="5">
        <v>2884</v>
      </c>
      <c r="F58" s="10">
        <v>14251</v>
      </c>
      <c r="G58" s="5">
        <v>10501</v>
      </c>
      <c r="H58" s="5">
        <v>3750</v>
      </c>
      <c r="I58" s="10">
        <v>14251</v>
      </c>
      <c r="J58" s="5">
        <v>10500</v>
      </c>
      <c r="K58" s="5">
        <v>3751</v>
      </c>
      <c r="L58" s="10">
        <v>14251</v>
      </c>
      <c r="M58" s="5">
        <v>8850</v>
      </c>
      <c r="N58" s="5">
        <v>5401</v>
      </c>
      <c r="O58" s="10">
        <f t="shared" si="8"/>
        <v>10385</v>
      </c>
      <c r="P58" s="97">
        <f t="shared" si="9"/>
        <v>0.32083165992152984</v>
      </c>
      <c r="Q58" s="101" t="str">
        <f t="shared" si="6"/>
        <v xml:space="preserve"> </v>
      </c>
      <c r="R58" s="91" t="str">
        <f>IF($C$4="High Inventory",IF(AND(O58&gt;=Summary!$C$106,P58&gt;=Summary!$C$107),"X"," "),IF(AND(O58&lt;=-Summary!$C$106,P58&lt;=-Summary!$C$107),"X"," "))</f>
        <v>X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>X</v>
      </c>
      <c r="U58" s="21" t="str">
        <f>IF($C$4="High Inventory",IF(AND($O58&gt;=0,$P58&gt;=Summary!$C$107),"X"," "),IF(AND($O58&lt;=0,$P58&lt;=-Summary!$C$107),"X"," "))</f>
        <v>X</v>
      </c>
      <c r="V58" t="str">
        <f t="shared" si="7"/>
        <v xml:space="preserve"> </v>
      </c>
    </row>
    <row r="59" spans="1:22" x14ac:dyDescent="0.2">
      <c r="A59" s="42">
        <v>117</v>
      </c>
      <c r="B59" s="77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8"/>
        <v>0</v>
      </c>
      <c r="P59" s="97">
        <f t="shared" si="9"/>
        <v>0</v>
      </c>
      <c r="Q59" s="101" t="str">
        <f t="shared" si="6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7"/>
        <v xml:space="preserve"> </v>
      </c>
    </row>
    <row r="60" spans="1:22" x14ac:dyDescent="0.2">
      <c r="A60" s="42">
        <v>127</v>
      </c>
      <c r="B60" s="77" t="s">
        <v>17</v>
      </c>
      <c r="C60" s="10">
        <v>0</v>
      </c>
      <c r="D60" s="5">
        <v>9</v>
      </c>
      <c r="E60" s="5">
        <v>-9</v>
      </c>
      <c r="F60" s="10">
        <v>0</v>
      </c>
      <c r="G60" s="5">
        <v>6</v>
      </c>
      <c r="H60" s="5">
        <v>-6</v>
      </c>
      <c r="I60" s="10">
        <v>0</v>
      </c>
      <c r="J60" s="5">
        <v>5</v>
      </c>
      <c r="K60" s="5">
        <v>-5</v>
      </c>
      <c r="L60" s="10">
        <v>0</v>
      </c>
      <c r="M60" s="5">
        <v>6</v>
      </c>
      <c r="N60" s="5">
        <v>-6</v>
      </c>
      <c r="O60" s="10">
        <f t="shared" si="8"/>
        <v>-20</v>
      </c>
      <c r="P60" s="97">
        <f t="shared" si="9"/>
        <v>-0.95238095238095233</v>
      </c>
      <c r="Q60" s="101" t="str">
        <f t="shared" si="6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7"/>
        <v xml:space="preserve"> </v>
      </c>
    </row>
    <row r="61" spans="1:22" x14ac:dyDescent="0.2">
      <c r="A61" s="42">
        <v>128</v>
      </c>
      <c r="B61" s="77" t="s">
        <v>17</v>
      </c>
      <c r="C61" s="10">
        <v>0</v>
      </c>
      <c r="D61" s="5">
        <v>0</v>
      </c>
      <c r="E61" s="5">
        <v>0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 t="shared" si="8"/>
        <v>0</v>
      </c>
      <c r="P61" s="97">
        <f t="shared" si="9"/>
        <v>0</v>
      </c>
      <c r="Q61" s="101" t="str">
        <f t="shared" si="6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7"/>
        <v xml:space="preserve"> </v>
      </c>
    </row>
    <row r="62" spans="1:22" x14ac:dyDescent="0.2">
      <c r="A62" s="42">
        <v>129</v>
      </c>
      <c r="B62" s="77" t="s">
        <v>17</v>
      </c>
      <c r="C62" s="10">
        <v>0</v>
      </c>
      <c r="D62" s="5">
        <v>0</v>
      </c>
      <c r="E62" s="5">
        <v>0</v>
      </c>
      <c r="F62" s="10">
        <v>0</v>
      </c>
      <c r="G62" s="5">
        <v>0</v>
      </c>
      <c r="H62" s="5">
        <v>0</v>
      </c>
      <c r="I62" s="10">
        <v>0</v>
      </c>
      <c r="J62" s="5">
        <v>0</v>
      </c>
      <c r="K62" s="5">
        <v>0</v>
      </c>
      <c r="L62" s="10">
        <v>0</v>
      </c>
      <c r="M62" s="5">
        <v>0</v>
      </c>
      <c r="N62" s="5">
        <v>0</v>
      </c>
      <c r="O62" s="10">
        <f t="shared" si="8"/>
        <v>0</v>
      </c>
      <c r="P62" s="97">
        <f t="shared" si="9"/>
        <v>0</v>
      </c>
      <c r="Q62" s="101" t="str">
        <f t="shared" si="6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7"/>
        <v xml:space="preserve"> </v>
      </c>
    </row>
    <row r="63" spans="1:22" x14ac:dyDescent="0.2">
      <c r="A63" s="42">
        <v>132</v>
      </c>
      <c r="B63" s="77" t="s">
        <v>17</v>
      </c>
      <c r="C63" s="10">
        <v>0</v>
      </c>
      <c r="D63" s="5">
        <v>276</v>
      </c>
      <c r="E63" s="5">
        <v>-276</v>
      </c>
      <c r="F63" s="10">
        <v>0</v>
      </c>
      <c r="G63" s="5">
        <v>275</v>
      </c>
      <c r="H63" s="5">
        <v>-275</v>
      </c>
      <c r="I63" s="10">
        <v>0</v>
      </c>
      <c r="J63" s="5">
        <v>280</v>
      </c>
      <c r="K63" s="5">
        <v>-280</v>
      </c>
      <c r="L63" s="10">
        <v>0</v>
      </c>
      <c r="M63" s="5">
        <v>88</v>
      </c>
      <c r="N63" s="5">
        <v>-88</v>
      </c>
      <c r="O63" s="10">
        <f t="shared" si="8"/>
        <v>-831</v>
      </c>
      <c r="P63" s="97">
        <f t="shared" si="9"/>
        <v>-0.99879807692307687</v>
      </c>
      <c r="Q63" s="101" t="str">
        <f t="shared" si="6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7"/>
        <v xml:space="preserve"> </v>
      </c>
    </row>
    <row r="64" spans="1:22" x14ac:dyDescent="0.2">
      <c r="A64" s="42">
        <v>133</v>
      </c>
      <c r="B64" s="77" t="s">
        <v>17</v>
      </c>
      <c r="C64" s="10">
        <v>0</v>
      </c>
      <c r="D64" s="5">
        <v>0</v>
      </c>
      <c r="E64" s="5">
        <v>0</v>
      </c>
      <c r="F64" s="10">
        <v>0</v>
      </c>
      <c r="G64" s="5">
        <v>0</v>
      </c>
      <c r="H64" s="5">
        <v>0</v>
      </c>
      <c r="I64" s="10">
        <v>0</v>
      </c>
      <c r="J64" s="5">
        <v>0</v>
      </c>
      <c r="K64" s="5">
        <v>0</v>
      </c>
      <c r="L64" s="10">
        <v>0</v>
      </c>
      <c r="M64" s="5">
        <v>0</v>
      </c>
      <c r="N64" s="5">
        <v>0</v>
      </c>
      <c r="O64" s="10">
        <f t="shared" si="8"/>
        <v>0</v>
      </c>
      <c r="P64" s="97">
        <f t="shared" si="9"/>
        <v>0</v>
      </c>
      <c r="Q64" s="101" t="str">
        <f t="shared" si="6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7"/>
        <v xml:space="preserve"> </v>
      </c>
    </row>
    <row r="65" spans="1:22" x14ac:dyDescent="0.2">
      <c r="A65" s="42">
        <v>194</v>
      </c>
      <c r="B65" s="77" t="s">
        <v>17</v>
      </c>
      <c r="C65" s="10">
        <v>0</v>
      </c>
      <c r="D65" s="5">
        <v>0</v>
      </c>
      <c r="E65" s="5">
        <v>0</v>
      </c>
      <c r="F65" s="10">
        <v>0</v>
      </c>
      <c r="G65" s="5">
        <v>0</v>
      </c>
      <c r="H65" s="5">
        <v>0</v>
      </c>
      <c r="I65" s="10">
        <v>0</v>
      </c>
      <c r="J65" s="5">
        <v>0</v>
      </c>
      <c r="K65" s="5">
        <v>0</v>
      </c>
      <c r="L65" s="10">
        <v>0</v>
      </c>
      <c r="M65" s="5">
        <v>0</v>
      </c>
      <c r="N65" s="5">
        <v>0</v>
      </c>
      <c r="O65" s="10">
        <f t="shared" si="8"/>
        <v>0</v>
      </c>
      <c r="P65" s="97">
        <f t="shared" si="9"/>
        <v>0</v>
      </c>
      <c r="Q65" s="101" t="str">
        <f t="shared" si="6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7"/>
        <v xml:space="preserve"> </v>
      </c>
    </row>
    <row r="66" spans="1:22" x14ac:dyDescent="0.2">
      <c r="A66" s="42">
        <v>195</v>
      </c>
      <c r="B66" s="77" t="s">
        <v>17</v>
      </c>
      <c r="C66" s="10">
        <v>0</v>
      </c>
      <c r="D66" s="5">
        <v>0</v>
      </c>
      <c r="E66" s="5">
        <v>0</v>
      </c>
      <c r="F66" s="10">
        <v>0</v>
      </c>
      <c r="G66" s="5">
        <v>0</v>
      </c>
      <c r="H66" s="5">
        <v>0</v>
      </c>
      <c r="I66" s="10">
        <v>0</v>
      </c>
      <c r="J66" s="5">
        <v>0</v>
      </c>
      <c r="K66" s="5">
        <v>0</v>
      </c>
      <c r="L66" s="10">
        <v>0</v>
      </c>
      <c r="M66" s="5">
        <v>0</v>
      </c>
      <c r="N66" s="5">
        <v>0</v>
      </c>
      <c r="O66" s="10">
        <f t="shared" si="8"/>
        <v>0</v>
      </c>
      <c r="P66" s="97">
        <f t="shared" si="9"/>
        <v>0</v>
      </c>
      <c r="Q66" s="101" t="str">
        <f t="shared" si="6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7"/>
        <v xml:space="preserve"> </v>
      </c>
    </row>
    <row r="67" spans="1:22" x14ac:dyDescent="0.2">
      <c r="A67" s="42">
        <v>196</v>
      </c>
      <c r="B67" s="77" t="s">
        <v>17</v>
      </c>
      <c r="C67" s="10">
        <v>0</v>
      </c>
      <c r="D67" s="5">
        <v>0</v>
      </c>
      <c r="E67" s="5">
        <v>0</v>
      </c>
      <c r="F67" s="10">
        <v>0</v>
      </c>
      <c r="G67" s="5">
        <v>0</v>
      </c>
      <c r="H67" s="5">
        <v>0</v>
      </c>
      <c r="I67" s="10">
        <v>0</v>
      </c>
      <c r="J67" s="5">
        <v>0</v>
      </c>
      <c r="K67" s="5">
        <v>0</v>
      </c>
      <c r="L67" s="10">
        <v>0</v>
      </c>
      <c r="M67" s="5">
        <v>0</v>
      </c>
      <c r="N67" s="5">
        <v>0</v>
      </c>
      <c r="O67" s="10">
        <f t="shared" si="8"/>
        <v>0</v>
      </c>
      <c r="P67" s="97">
        <f t="shared" si="9"/>
        <v>0</v>
      </c>
      <c r="Q67" s="101" t="str">
        <f t="shared" si="6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7"/>
        <v xml:space="preserve"> </v>
      </c>
    </row>
    <row r="68" spans="1:22" x14ac:dyDescent="0.2">
      <c r="A68" s="42">
        <v>197</v>
      </c>
      <c r="B68" s="77" t="s">
        <v>17</v>
      </c>
      <c r="C68" s="10">
        <v>0</v>
      </c>
      <c r="D68" s="5">
        <v>27</v>
      </c>
      <c r="E68" s="5">
        <v>-27</v>
      </c>
      <c r="F68" s="10">
        <v>0</v>
      </c>
      <c r="G68" s="5">
        <v>0</v>
      </c>
      <c r="H68" s="5">
        <v>0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8"/>
        <v>-27</v>
      </c>
      <c r="P68" s="97">
        <f t="shared" si="9"/>
        <v>-0.9642857142857143</v>
      </c>
      <c r="Q68" s="101" t="str">
        <f t="shared" si="6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7"/>
        <v xml:space="preserve"> </v>
      </c>
    </row>
    <row r="69" spans="1:22" x14ac:dyDescent="0.2">
      <c r="A69" s="42">
        <v>282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0</v>
      </c>
      <c r="N69" s="5">
        <v>0</v>
      </c>
      <c r="O69" s="10">
        <f t="shared" si="8"/>
        <v>0</v>
      </c>
      <c r="P69" s="97">
        <f t="shared" si="9"/>
        <v>0</v>
      </c>
      <c r="Q69" s="101" t="str">
        <f t="shared" si="6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7"/>
        <v xml:space="preserve"> </v>
      </c>
    </row>
    <row r="70" spans="1:22" x14ac:dyDescent="0.2">
      <c r="A70" s="42">
        <v>289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 t="shared" si="8"/>
        <v>0</v>
      </c>
      <c r="P70" s="97">
        <f t="shared" si="9"/>
        <v>0</v>
      </c>
      <c r="Q70" s="101" t="str">
        <f t="shared" si="6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7"/>
        <v xml:space="preserve"> </v>
      </c>
    </row>
    <row r="71" spans="1:22" x14ac:dyDescent="0.2">
      <c r="A71" s="42">
        <v>476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 t="shared" si="8"/>
        <v>0</v>
      </c>
      <c r="P71" s="97">
        <f t="shared" si="9"/>
        <v>0</v>
      </c>
      <c r="Q71" s="101" t="str">
        <f t="shared" si="6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7"/>
        <v xml:space="preserve"> </v>
      </c>
    </row>
    <row r="72" spans="1:22" x14ac:dyDescent="0.2">
      <c r="A72" s="42">
        <v>512</v>
      </c>
      <c r="B72" s="77" t="s">
        <v>17</v>
      </c>
      <c r="C72" s="10">
        <v>800</v>
      </c>
      <c r="D72" s="5">
        <v>799</v>
      </c>
      <c r="E72" s="5">
        <v>1</v>
      </c>
      <c r="F72" s="10">
        <v>800</v>
      </c>
      <c r="G72" s="5">
        <v>685</v>
      </c>
      <c r="H72" s="5">
        <v>115</v>
      </c>
      <c r="I72" s="10">
        <v>800</v>
      </c>
      <c r="J72" s="5">
        <v>662</v>
      </c>
      <c r="K72" s="5">
        <v>138</v>
      </c>
      <c r="L72" s="10">
        <v>800</v>
      </c>
      <c r="M72" s="5">
        <v>423</v>
      </c>
      <c r="N72" s="5">
        <v>377</v>
      </c>
      <c r="O72" s="10">
        <f t="shared" si="8"/>
        <v>254</v>
      </c>
      <c r="P72" s="97">
        <f t="shared" si="9"/>
        <v>0.11830461108523521</v>
      </c>
      <c r="Q72" s="101" t="str">
        <f t="shared" si="6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>X</v>
      </c>
      <c r="V72" t="str">
        <f t="shared" si="7"/>
        <v xml:space="preserve"> </v>
      </c>
    </row>
    <row r="73" spans="1:22" x14ac:dyDescent="0.2">
      <c r="A73" s="42">
        <v>757</v>
      </c>
      <c r="B73" s="77" t="s">
        <v>17</v>
      </c>
      <c r="C73" s="10">
        <v>0</v>
      </c>
      <c r="D73" s="5">
        <v>492</v>
      </c>
      <c r="E73" s="5">
        <v>-492</v>
      </c>
      <c r="F73" s="10">
        <v>0</v>
      </c>
      <c r="G73" s="5">
        <v>519</v>
      </c>
      <c r="H73" s="5">
        <v>-519</v>
      </c>
      <c r="I73" s="10">
        <v>0</v>
      </c>
      <c r="J73" s="5">
        <v>510</v>
      </c>
      <c r="K73" s="5">
        <v>-510</v>
      </c>
      <c r="L73" s="10">
        <v>0</v>
      </c>
      <c r="M73" s="5">
        <v>508</v>
      </c>
      <c r="N73" s="5">
        <v>-508</v>
      </c>
      <c r="O73" s="10">
        <f t="shared" ref="O73:O93" si="10">K73+H73+E73</f>
        <v>-1521</v>
      </c>
      <c r="P73" s="97">
        <f t="shared" ref="P73:P93" si="11">O73/(J73+G73+D73+1)</f>
        <v>-0.99934296977660975</v>
      </c>
      <c r="Q73" s="101" t="str">
        <f t="shared" si="6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7"/>
        <v xml:space="preserve"> </v>
      </c>
    </row>
    <row r="74" spans="1:22" x14ac:dyDescent="0.2">
      <c r="A74" s="42">
        <v>761</v>
      </c>
      <c r="B74" s="77" t="s">
        <v>17</v>
      </c>
      <c r="C74" s="10">
        <v>0</v>
      </c>
      <c r="D74" s="5">
        <v>8</v>
      </c>
      <c r="E74" s="5">
        <v>-8</v>
      </c>
      <c r="F74" s="10">
        <v>0</v>
      </c>
      <c r="G74" s="5">
        <v>8</v>
      </c>
      <c r="H74" s="5">
        <v>-8</v>
      </c>
      <c r="I74" s="10">
        <v>0</v>
      </c>
      <c r="J74" s="5">
        <v>8</v>
      </c>
      <c r="K74" s="5">
        <v>-8</v>
      </c>
      <c r="L74" s="10">
        <v>0</v>
      </c>
      <c r="M74" s="5">
        <v>8</v>
      </c>
      <c r="N74" s="5">
        <v>-8</v>
      </c>
      <c r="O74" s="10">
        <f>K74+H74+E74</f>
        <v>-24</v>
      </c>
      <c r="P74" s="97">
        <f t="shared" si="11"/>
        <v>-0.96</v>
      </c>
      <c r="Q74" s="101" t="str">
        <f t="shared" si="6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96" si="12">IF(S74 = "X",L74-I74," ")</f>
        <v xml:space="preserve"> </v>
      </c>
    </row>
    <row r="75" spans="1:22" x14ac:dyDescent="0.2">
      <c r="A75" s="42">
        <v>764</v>
      </c>
      <c r="B75" s="77" t="s">
        <v>17</v>
      </c>
      <c r="C75" s="10">
        <v>196</v>
      </c>
      <c r="D75" s="5">
        <v>164</v>
      </c>
      <c r="E75" s="5">
        <v>32</v>
      </c>
      <c r="F75" s="10">
        <v>196</v>
      </c>
      <c r="G75" s="5">
        <v>185</v>
      </c>
      <c r="H75" s="5">
        <v>11</v>
      </c>
      <c r="I75" s="10">
        <v>196</v>
      </c>
      <c r="J75" s="5">
        <v>207</v>
      </c>
      <c r="K75" s="5">
        <v>-11</v>
      </c>
      <c r="L75" s="10">
        <v>196</v>
      </c>
      <c r="M75" s="5">
        <v>232</v>
      </c>
      <c r="N75" s="5">
        <v>-36</v>
      </c>
      <c r="O75" s="10">
        <f t="shared" si="10"/>
        <v>32</v>
      </c>
      <c r="P75" s="97">
        <f t="shared" si="11"/>
        <v>5.7450628366247758E-2</v>
      </c>
      <c r="Q75" s="101" t="str">
        <f t="shared" si="6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2"/>
        <v xml:space="preserve"> </v>
      </c>
    </row>
    <row r="76" spans="1:22" x14ac:dyDescent="0.2">
      <c r="A76" s="42">
        <v>765</v>
      </c>
      <c r="B76" s="77" t="s">
        <v>17</v>
      </c>
      <c r="C76" s="10">
        <v>7271</v>
      </c>
      <c r="D76" s="5">
        <v>7199</v>
      </c>
      <c r="E76" s="5">
        <v>72</v>
      </c>
      <c r="F76" s="10">
        <v>7271</v>
      </c>
      <c r="G76" s="5">
        <v>7484</v>
      </c>
      <c r="H76" s="5">
        <v>-213</v>
      </c>
      <c r="I76" s="10">
        <v>7271</v>
      </c>
      <c r="J76" s="5">
        <v>7395</v>
      </c>
      <c r="K76" s="5">
        <v>-124</v>
      </c>
      <c r="L76" s="10">
        <v>7271</v>
      </c>
      <c r="M76" s="5">
        <v>7571</v>
      </c>
      <c r="N76" s="5">
        <v>-300</v>
      </c>
      <c r="O76" s="10">
        <f t="shared" si="10"/>
        <v>-265</v>
      </c>
      <c r="P76" s="97">
        <f t="shared" si="11"/>
        <v>-1.200235517912949E-2</v>
      </c>
      <c r="Q76" s="101" t="str">
        <f t="shared" si="6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2"/>
        <v xml:space="preserve"> </v>
      </c>
    </row>
    <row r="77" spans="1:22" x14ac:dyDescent="0.2">
      <c r="A77" s="42">
        <v>779</v>
      </c>
      <c r="B77" s="77" t="s">
        <v>17</v>
      </c>
      <c r="C77" s="10">
        <v>800</v>
      </c>
      <c r="D77" s="5">
        <v>1266</v>
      </c>
      <c r="E77" s="5">
        <v>-466</v>
      </c>
      <c r="F77" s="10">
        <v>800</v>
      </c>
      <c r="G77" s="5">
        <v>1202</v>
      </c>
      <c r="H77" s="5">
        <v>-402</v>
      </c>
      <c r="I77" s="10">
        <v>800</v>
      </c>
      <c r="J77" s="5">
        <v>1319</v>
      </c>
      <c r="K77" s="5">
        <v>-519</v>
      </c>
      <c r="L77" s="10">
        <v>800</v>
      </c>
      <c r="M77" s="5">
        <v>1267</v>
      </c>
      <c r="N77" s="5">
        <v>-467</v>
      </c>
      <c r="O77" s="10">
        <f>K77+H77+E77</f>
        <v>-1387</v>
      </c>
      <c r="P77" s="97">
        <f>O77/(J77+G77+D77+1)</f>
        <v>-0.36615628299894404</v>
      </c>
      <c r="Q77" s="101" t="str">
        <f t="shared" si="6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 xml:space="preserve"> </v>
      </c>
      <c r="U77" s="21" t="str">
        <f>IF($C$4="High Inventory",IF(AND($O77&gt;=0,$P77&gt;=Summary!$C$107),"X"," "),IF(AND($O77&lt;=0,$P77&lt;=-Summary!$C$107),"X"," "))</f>
        <v xml:space="preserve"> </v>
      </c>
      <c r="V77" t="str">
        <f t="shared" si="12"/>
        <v xml:space="preserve"> </v>
      </c>
    </row>
    <row r="78" spans="1:22" x14ac:dyDescent="0.2">
      <c r="A78" s="42">
        <v>899</v>
      </c>
      <c r="B78" s="77" t="s">
        <v>17</v>
      </c>
      <c r="C78" s="10">
        <v>0</v>
      </c>
      <c r="D78" s="5">
        <v>0</v>
      </c>
      <c r="E78" s="5">
        <v>0</v>
      </c>
      <c r="F78" s="10">
        <v>0</v>
      </c>
      <c r="G78" s="5">
        <v>0</v>
      </c>
      <c r="H78" s="5">
        <v>0</v>
      </c>
      <c r="I78" s="10">
        <v>0</v>
      </c>
      <c r="J78" s="5">
        <v>0</v>
      </c>
      <c r="K78" s="5">
        <v>0</v>
      </c>
      <c r="L78" s="10">
        <v>0</v>
      </c>
      <c r="M78" s="5">
        <v>0</v>
      </c>
      <c r="N78" s="5">
        <v>0</v>
      </c>
      <c r="O78" s="10">
        <f>K78+H78+E78</f>
        <v>0</v>
      </c>
      <c r="P78" s="97">
        <f>O78/(J78+G78+D78+1)</f>
        <v>0</v>
      </c>
      <c r="Q78" s="101" t="str">
        <f t="shared" si="6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12"/>
        <v xml:space="preserve"> </v>
      </c>
    </row>
    <row r="79" spans="1:22" x14ac:dyDescent="0.2">
      <c r="A79" s="42">
        <v>928</v>
      </c>
      <c r="B79" s="77" t="s">
        <v>17</v>
      </c>
      <c r="C79" s="10">
        <v>190</v>
      </c>
      <c r="D79" s="5">
        <v>194</v>
      </c>
      <c r="E79" s="5">
        <v>-4</v>
      </c>
      <c r="F79" s="10">
        <v>190</v>
      </c>
      <c r="G79" s="5">
        <v>198</v>
      </c>
      <c r="H79" s="5">
        <v>-8</v>
      </c>
      <c r="I79" s="10">
        <v>190</v>
      </c>
      <c r="J79" s="5">
        <v>200</v>
      </c>
      <c r="K79" s="5">
        <v>-10</v>
      </c>
      <c r="L79" s="10">
        <v>190</v>
      </c>
      <c r="M79" s="5">
        <v>202</v>
      </c>
      <c r="N79" s="5">
        <v>-12</v>
      </c>
      <c r="O79" s="10">
        <f>K79+H79+E79</f>
        <v>-22</v>
      </c>
      <c r="P79" s="97">
        <f>O79/(J79+G79+D79+1)</f>
        <v>-3.7099494097807759E-2</v>
      </c>
      <c r="Q79" s="101" t="str">
        <f t="shared" si="6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2"/>
        <v xml:space="preserve"> </v>
      </c>
    </row>
    <row r="80" spans="1:22" x14ac:dyDescent="0.2">
      <c r="A80" s="42">
        <v>997</v>
      </c>
      <c r="B80" s="77" t="s">
        <v>17</v>
      </c>
      <c r="C80" s="10">
        <v>0</v>
      </c>
      <c r="D80" s="5">
        <v>0</v>
      </c>
      <c r="E80" s="5">
        <v>0</v>
      </c>
      <c r="F80" s="10">
        <v>0</v>
      </c>
      <c r="G80" s="5">
        <v>0</v>
      </c>
      <c r="H80" s="5">
        <v>0</v>
      </c>
      <c r="I80" s="10">
        <v>0</v>
      </c>
      <c r="J80" s="5">
        <v>0</v>
      </c>
      <c r="K80" s="5">
        <v>0</v>
      </c>
      <c r="L80" s="10">
        <v>0</v>
      </c>
      <c r="M80" s="5">
        <v>0</v>
      </c>
      <c r="N80" s="5">
        <v>0</v>
      </c>
      <c r="O80" s="10">
        <f t="shared" si="10"/>
        <v>0</v>
      </c>
      <c r="P80" s="97">
        <f t="shared" si="11"/>
        <v>0</v>
      </c>
      <c r="Q80" s="101" t="str">
        <f t="shared" si="6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2"/>
        <v xml:space="preserve"> </v>
      </c>
    </row>
    <row r="81" spans="1:22" x14ac:dyDescent="0.2">
      <c r="A81" s="42">
        <v>5342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800</v>
      </c>
      <c r="M81" s="5">
        <v>0</v>
      </c>
      <c r="N81" s="5">
        <v>800</v>
      </c>
      <c r="O81" s="10">
        <f>K81+H81+E81</f>
        <v>0</v>
      </c>
      <c r="P81" s="97">
        <f>O81/(J81+G81+D81+1)</f>
        <v>0</v>
      </c>
      <c r="Q81" s="101" t="str">
        <f t="shared" si="6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2"/>
        <v xml:space="preserve"> </v>
      </c>
    </row>
    <row r="82" spans="1:22" x14ac:dyDescent="0.2">
      <c r="A82" s="42">
        <v>5379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>K82+H82+E82</f>
        <v>0</v>
      </c>
      <c r="P82" s="97">
        <f>O82/(J82+G82+D82+1)</f>
        <v>0</v>
      </c>
      <c r="Q82" s="101" t="str">
        <f t="shared" si="6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2"/>
        <v xml:space="preserve"> </v>
      </c>
    </row>
    <row r="83" spans="1:22" x14ac:dyDescent="0.2">
      <c r="A83" s="42">
        <v>7088</v>
      </c>
      <c r="B83" s="77" t="s">
        <v>17</v>
      </c>
      <c r="C83" s="10">
        <v>0</v>
      </c>
      <c r="D83" s="5">
        <v>30</v>
      </c>
      <c r="E83" s="5">
        <v>-30</v>
      </c>
      <c r="F83" s="10">
        <v>0</v>
      </c>
      <c r="G83" s="5">
        <v>38</v>
      </c>
      <c r="H83" s="5">
        <v>-38</v>
      </c>
      <c r="I83" s="10">
        <v>0</v>
      </c>
      <c r="J83" s="5">
        <v>43</v>
      </c>
      <c r="K83" s="5">
        <v>-43</v>
      </c>
      <c r="L83" s="10">
        <v>0</v>
      </c>
      <c r="M83" s="5">
        <v>38</v>
      </c>
      <c r="N83" s="5">
        <v>-38</v>
      </c>
      <c r="O83" s="10">
        <f t="shared" si="10"/>
        <v>-111</v>
      </c>
      <c r="P83" s="97">
        <f t="shared" si="11"/>
        <v>-0.9910714285714286</v>
      </c>
      <c r="Q83" s="101" t="str">
        <f t="shared" si="6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2"/>
        <v xml:space="preserve"> </v>
      </c>
    </row>
    <row r="84" spans="1:22" x14ac:dyDescent="0.2">
      <c r="A84" s="42">
        <v>7602</v>
      </c>
      <c r="B84" s="77" t="s">
        <v>17</v>
      </c>
      <c r="C84" s="10">
        <v>26468</v>
      </c>
      <c r="D84" s="5">
        <v>36716</v>
      </c>
      <c r="E84" s="5">
        <v>-10248</v>
      </c>
      <c r="F84" s="10">
        <v>10246</v>
      </c>
      <c r="G84" s="5">
        <v>38120</v>
      </c>
      <c r="H84" s="5">
        <v>-27874</v>
      </c>
      <c r="I84" s="10">
        <v>19508</v>
      </c>
      <c r="J84" s="5">
        <v>37409</v>
      </c>
      <c r="K84" s="5">
        <v>-17901</v>
      </c>
      <c r="L84" s="10">
        <v>30570</v>
      </c>
      <c r="M84" s="5">
        <v>35292</v>
      </c>
      <c r="N84" s="5">
        <v>-4722</v>
      </c>
      <c r="O84" s="10">
        <f t="shared" si="10"/>
        <v>-56023</v>
      </c>
      <c r="P84" s="97">
        <f t="shared" si="11"/>
        <v>-0.49910909965611244</v>
      </c>
      <c r="Q84" s="101" t="str">
        <f t="shared" si="6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2"/>
        <v xml:space="preserve"> </v>
      </c>
    </row>
    <row r="85" spans="1:22" x14ac:dyDescent="0.2">
      <c r="A85" s="42">
        <v>7604</v>
      </c>
      <c r="B85" s="77" t="s">
        <v>17</v>
      </c>
      <c r="C85" s="10">
        <v>69540</v>
      </c>
      <c r="D85" s="5">
        <v>67970</v>
      </c>
      <c r="E85" s="5">
        <v>1570</v>
      </c>
      <c r="F85" s="10">
        <v>69540</v>
      </c>
      <c r="G85" s="5">
        <v>67896</v>
      </c>
      <c r="H85" s="5">
        <v>1644</v>
      </c>
      <c r="I85" s="10">
        <v>69534</v>
      </c>
      <c r="J85" s="5">
        <v>73024</v>
      </c>
      <c r="K85" s="5">
        <v>-3490</v>
      </c>
      <c r="L85" s="10">
        <v>65986</v>
      </c>
      <c r="M85" s="5">
        <v>79311</v>
      </c>
      <c r="N85" s="5">
        <v>-13325</v>
      </c>
      <c r="O85" s="10">
        <f t="shared" si="10"/>
        <v>-276</v>
      </c>
      <c r="P85" s="97">
        <f t="shared" si="11"/>
        <v>-1.3212632425523359E-3</v>
      </c>
      <c r="Q85" s="101" t="str">
        <f t="shared" si="6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2"/>
        <v xml:space="preserve"> </v>
      </c>
    </row>
    <row r="86" spans="1:22" x14ac:dyDescent="0.2">
      <c r="A86" s="42">
        <v>8576</v>
      </c>
      <c r="B86" s="77" t="s">
        <v>17</v>
      </c>
      <c r="C86" s="10">
        <v>0</v>
      </c>
      <c r="D86" s="5">
        <v>0</v>
      </c>
      <c r="E86" s="5">
        <v>0</v>
      </c>
      <c r="F86" s="10">
        <v>0</v>
      </c>
      <c r="G86" s="5">
        <v>0</v>
      </c>
      <c r="H86" s="5">
        <v>0</v>
      </c>
      <c r="I86" s="10">
        <v>0</v>
      </c>
      <c r="J86" s="5">
        <v>0</v>
      </c>
      <c r="K86" s="5">
        <v>0</v>
      </c>
      <c r="L86" s="10">
        <v>0</v>
      </c>
      <c r="M86" s="5">
        <v>0</v>
      </c>
      <c r="N86" s="5">
        <v>0</v>
      </c>
      <c r="O86" s="10">
        <f t="shared" si="10"/>
        <v>0</v>
      </c>
      <c r="P86" s="97">
        <f t="shared" si="11"/>
        <v>0</v>
      </c>
      <c r="Q86" s="101" t="str">
        <f t="shared" si="6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 t="str">
        <f t="shared" si="12"/>
        <v xml:space="preserve"> </v>
      </c>
    </row>
    <row r="87" spans="1:22" x14ac:dyDescent="0.2">
      <c r="A87" s="42">
        <v>8577</v>
      </c>
      <c r="B87" s="77" t="s">
        <v>17</v>
      </c>
      <c r="C87" s="10">
        <v>0</v>
      </c>
      <c r="D87" s="5">
        <v>0</v>
      </c>
      <c r="E87" s="5">
        <v>0</v>
      </c>
      <c r="F87" s="10">
        <v>0</v>
      </c>
      <c r="G87" s="5">
        <v>0</v>
      </c>
      <c r="H87" s="5">
        <v>0</v>
      </c>
      <c r="I87" s="10">
        <v>0</v>
      </c>
      <c r="J87" s="5">
        <v>0</v>
      </c>
      <c r="K87" s="5">
        <v>0</v>
      </c>
      <c r="L87" s="10">
        <v>0</v>
      </c>
      <c r="M87" s="5">
        <v>0</v>
      </c>
      <c r="N87" s="5">
        <v>0</v>
      </c>
      <c r="O87" s="10">
        <f t="shared" si="10"/>
        <v>0</v>
      </c>
      <c r="P87" s="97">
        <f t="shared" si="11"/>
        <v>0</v>
      </c>
      <c r="Q87" s="101" t="str">
        <f t="shared" si="6"/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21" t="str">
        <f>IF(AND(L87-I87&gt;=Summary!$C$110,N87-K87&gt;Summary!$C$110,N87&gt;0),"X"," ")</f>
        <v xml:space="preserve"> </v>
      </c>
      <c r="T87" s="17" t="str">
        <f>IF($C$4="High Inventory",IF(AND($O87&gt;=Summary!$C$106,$P87&gt;=0%),"X"," "),IF(AND($O87&lt;=-Summary!$C$106,$P87&lt;=0%),"X"," "))</f>
        <v xml:space="preserve"> </v>
      </c>
      <c r="U87" s="21" t="str">
        <f>IF($C$4="High Inventory",IF(AND($O87&gt;=0,$P87&gt;=Summary!$C$107),"X"," "),IF(AND($O87&lt;=0,$P87&lt;=-Summary!$C$107),"X"," "))</f>
        <v xml:space="preserve"> </v>
      </c>
      <c r="V87" t="str">
        <f t="shared" si="12"/>
        <v xml:space="preserve"> </v>
      </c>
    </row>
    <row r="88" spans="1:22" x14ac:dyDescent="0.2">
      <c r="A88" s="42">
        <v>8578</v>
      </c>
      <c r="B88" s="77" t="s">
        <v>17</v>
      </c>
      <c r="C88" s="10">
        <v>0</v>
      </c>
      <c r="D88" s="5">
        <v>0</v>
      </c>
      <c r="E88" s="5">
        <v>0</v>
      </c>
      <c r="F88" s="10">
        <v>0</v>
      </c>
      <c r="G88" s="5">
        <v>0</v>
      </c>
      <c r="H88" s="5">
        <v>0</v>
      </c>
      <c r="I88" s="10">
        <v>0</v>
      </c>
      <c r="J88" s="5">
        <v>0</v>
      </c>
      <c r="K88" s="5">
        <v>0</v>
      </c>
      <c r="L88" s="10">
        <v>0</v>
      </c>
      <c r="M88" s="5">
        <v>0</v>
      </c>
      <c r="N88" s="5">
        <v>0</v>
      </c>
      <c r="O88" s="10">
        <f t="shared" si="10"/>
        <v>0</v>
      </c>
      <c r="P88" s="97">
        <f t="shared" si="11"/>
        <v>0</v>
      </c>
      <c r="Q88" s="101" t="str">
        <f t="shared" si="6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21" t="str">
        <f>IF(AND(L88-I88&gt;=Summary!$C$110,N88-K88&gt;Summary!$C$110,N88&gt;0),"X"," ")</f>
        <v xml:space="preserve"> </v>
      </c>
      <c r="T88" s="17" t="str">
        <f>IF($C$4="High Inventory",IF(AND($O88&gt;=Summary!$C$106,$P88&gt;=0%),"X"," "),IF(AND($O88&lt;=-Summary!$C$106,$P88&lt;=0%),"X"," "))</f>
        <v xml:space="preserve"> </v>
      </c>
      <c r="U88" s="21" t="str">
        <f>IF($C$4="High Inventory",IF(AND($O88&gt;=0,$P88&gt;=Summary!$C$107),"X"," "),IF(AND($O88&lt;=0,$P88&lt;=-Summary!$C$107),"X"," "))</f>
        <v xml:space="preserve"> </v>
      </c>
      <c r="V88" t="str">
        <f t="shared" si="12"/>
        <v xml:space="preserve"> </v>
      </c>
    </row>
    <row r="89" spans="1:22" x14ac:dyDescent="0.2">
      <c r="A89" s="42">
        <v>8579</v>
      </c>
      <c r="B89" s="77" t="s">
        <v>17</v>
      </c>
      <c r="C89" s="10">
        <v>0</v>
      </c>
      <c r="D89" s="5">
        <v>0</v>
      </c>
      <c r="E89" s="5">
        <v>0</v>
      </c>
      <c r="F89" s="10">
        <v>0</v>
      </c>
      <c r="G89" s="5">
        <v>0</v>
      </c>
      <c r="H89" s="5">
        <v>0</v>
      </c>
      <c r="I89" s="10">
        <v>0</v>
      </c>
      <c r="J89" s="5">
        <v>0</v>
      </c>
      <c r="K89" s="5">
        <v>0</v>
      </c>
      <c r="L89" s="10">
        <v>0</v>
      </c>
      <c r="M89" s="5">
        <v>0</v>
      </c>
      <c r="N89" s="5">
        <v>0</v>
      </c>
      <c r="O89" s="10">
        <f t="shared" si="10"/>
        <v>0</v>
      </c>
      <c r="P89" s="97">
        <f t="shared" si="11"/>
        <v>0</v>
      </c>
      <c r="Q89" s="101" t="str">
        <f t="shared" si="6"/>
        <v xml:space="preserve"> </v>
      </c>
      <c r="R89" s="91" t="str">
        <f>IF($C$4="High Inventory",IF(AND(O89&gt;=Summary!$C$106,P89&gt;=Summary!$C$107),"X"," "),IF(AND(O89&lt;=-Summary!$C$106,P89&lt;=-Summary!$C$107),"X"," "))</f>
        <v xml:space="preserve"> </v>
      </c>
      <c r="S89" s="21" t="str">
        <f>IF(AND(L89-I89&gt;=Summary!$C$110,N89-K89&gt;Summary!$C$110,N89&gt;0),"X"," ")</f>
        <v xml:space="preserve"> </v>
      </c>
      <c r="T89" s="17" t="str">
        <f>IF($C$4="High Inventory",IF(AND($O89&gt;=Summary!$C$106,$P89&gt;=0%),"X"," "),IF(AND($O89&lt;=-Summary!$C$106,$P89&lt;=0%),"X"," "))</f>
        <v xml:space="preserve"> </v>
      </c>
      <c r="U89" s="21" t="str">
        <f>IF($C$4="High Inventory",IF(AND($O89&gt;=0,$P89&gt;=Summary!$C$107),"X"," "),IF(AND($O89&lt;=0,$P89&lt;=-Summary!$C$107),"X"," "))</f>
        <v xml:space="preserve"> </v>
      </c>
      <c r="V89" t="str">
        <f t="shared" si="12"/>
        <v xml:space="preserve"> </v>
      </c>
    </row>
    <row r="90" spans="1:22" x14ac:dyDescent="0.2">
      <c r="A90" s="42">
        <v>8580</v>
      </c>
      <c r="B90" s="77" t="s">
        <v>17</v>
      </c>
      <c r="C90" s="10">
        <v>0</v>
      </c>
      <c r="D90" s="5">
        <v>0</v>
      </c>
      <c r="E90" s="5">
        <v>0</v>
      </c>
      <c r="F90" s="10">
        <v>0</v>
      </c>
      <c r="G90" s="5">
        <v>0</v>
      </c>
      <c r="H90" s="5">
        <v>0</v>
      </c>
      <c r="I90" s="10">
        <v>0</v>
      </c>
      <c r="J90" s="5">
        <v>0</v>
      </c>
      <c r="K90" s="5">
        <v>0</v>
      </c>
      <c r="L90" s="10">
        <v>0</v>
      </c>
      <c r="M90" s="5">
        <v>0</v>
      </c>
      <c r="N90" s="5">
        <v>0</v>
      </c>
      <c r="O90" s="10">
        <f t="shared" si="10"/>
        <v>0</v>
      </c>
      <c r="P90" s="97">
        <f t="shared" si="11"/>
        <v>0</v>
      </c>
      <c r="Q90" s="101" t="str">
        <f t="shared" si="6"/>
        <v xml:space="preserve"> </v>
      </c>
      <c r="R90" s="91" t="str">
        <f>IF($C$4="High Inventory",IF(AND(O90&gt;=Summary!$C$106,P90&gt;=Summary!$C$107),"X"," "),IF(AND(O90&lt;=-Summary!$C$106,P90&lt;=-Summary!$C$107),"X"," "))</f>
        <v xml:space="preserve"> </v>
      </c>
      <c r="S90" s="21" t="str">
        <f>IF(AND(L90-I90&gt;=Summary!$C$110,N90-K90&gt;Summary!$C$110,N90&gt;0),"X"," ")</f>
        <v xml:space="preserve"> </v>
      </c>
      <c r="T90" s="17" t="str">
        <f>IF($C$4="High Inventory",IF(AND($O90&gt;=Summary!$C$106,$P90&gt;=0%),"X"," "),IF(AND($O90&lt;=-Summary!$C$106,$P90&lt;=0%),"X"," "))</f>
        <v xml:space="preserve"> </v>
      </c>
      <c r="U90" s="21" t="str">
        <f>IF($C$4="High Inventory",IF(AND($O90&gt;=0,$P90&gt;=Summary!$C$107),"X"," "),IF(AND($O90&lt;=0,$P90&lt;=-Summary!$C$107),"X"," "))</f>
        <v xml:space="preserve"> </v>
      </c>
      <c r="V90" t="str">
        <f t="shared" si="12"/>
        <v xml:space="preserve"> </v>
      </c>
    </row>
    <row r="91" spans="1:22" x14ac:dyDescent="0.2">
      <c r="A91" s="42">
        <v>13636</v>
      </c>
      <c r="B91" s="77" t="s">
        <v>17</v>
      </c>
      <c r="C91" s="10">
        <v>0</v>
      </c>
      <c r="D91" s="5">
        <v>110</v>
      </c>
      <c r="E91" s="5">
        <v>-110</v>
      </c>
      <c r="F91" s="10">
        <v>0</v>
      </c>
      <c r="G91" s="5">
        <v>119</v>
      </c>
      <c r="H91" s="5">
        <v>-119</v>
      </c>
      <c r="I91" s="10">
        <v>0</v>
      </c>
      <c r="J91" s="5">
        <v>49</v>
      </c>
      <c r="K91" s="5">
        <v>-49</v>
      </c>
      <c r="L91" s="10">
        <v>0</v>
      </c>
      <c r="M91" s="5">
        <v>25</v>
      </c>
      <c r="N91" s="5">
        <v>-25</v>
      </c>
      <c r="O91" s="10">
        <f>K91+H91+E91</f>
        <v>-278</v>
      </c>
      <c r="P91" s="97">
        <f>O91/(J91+G91+D91+1)</f>
        <v>-0.99641577060931896</v>
      </c>
      <c r="Q91" s="101" t="str">
        <f t="shared" si="6"/>
        <v xml:space="preserve"> </v>
      </c>
      <c r="R91" s="91" t="str">
        <f>IF($C$4="High Inventory",IF(AND(O91&gt;=Summary!$C$106,P91&gt;=Summary!$C$107),"X"," "),IF(AND(O91&lt;=-Summary!$C$106,P91&lt;=-Summary!$C$107),"X"," "))</f>
        <v xml:space="preserve"> </v>
      </c>
      <c r="S91" s="21" t="str">
        <f>IF(AND(L91-I91&gt;=Summary!$C$110,N91-K91&gt;Summary!$C$110,N91&gt;0),"X"," ")</f>
        <v xml:space="preserve"> </v>
      </c>
      <c r="T91" s="17" t="str">
        <f>IF($C$4="High Inventory",IF(AND($O91&gt;=Summary!$C$106,$P91&gt;=0%),"X"," "),IF(AND($O91&lt;=-Summary!$C$106,$P91&lt;=0%),"X"," "))</f>
        <v xml:space="preserve"> </v>
      </c>
      <c r="U91" s="21" t="str">
        <f>IF($C$4="High Inventory",IF(AND($O91&gt;=0,$P91&gt;=Summary!$C$107),"X"," "),IF(AND($O91&lt;=0,$P91&lt;=-Summary!$C$107),"X"," "))</f>
        <v xml:space="preserve"> </v>
      </c>
      <c r="V91" t="str">
        <f t="shared" si="12"/>
        <v xml:space="preserve"> </v>
      </c>
    </row>
    <row r="92" spans="1:22" x14ac:dyDescent="0.2">
      <c r="A92" s="42">
        <v>18287</v>
      </c>
      <c r="B92" s="77" t="s">
        <v>17</v>
      </c>
      <c r="C92" s="10">
        <v>0</v>
      </c>
      <c r="D92" s="5">
        <v>0</v>
      </c>
      <c r="E92" s="5">
        <v>0</v>
      </c>
      <c r="F92" s="10">
        <v>0</v>
      </c>
      <c r="G92" s="5">
        <v>0</v>
      </c>
      <c r="H92" s="5">
        <v>0</v>
      </c>
      <c r="I92" s="10">
        <v>0</v>
      </c>
      <c r="J92" s="5">
        <v>0</v>
      </c>
      <c r="K92" s="5">
        <v>0</v>
      </c>
      <c r="L92" s="10">
        <v>0</v>
      </c>
      <c r="M92" s="5">
        <v>0</v>
      </c>
      <c r="N92" s="5">
        <v>0</v>
      </c>
      <c r="O92" s="10">
        <f t="shared" si="10"/>
        <v>0</v>
      </c>
      <c r="P92" s="97">
        <f t="shared" si="11"/>
        <v>0</v>
      </c>
      <c r="Q92" s="101" t="str">
        <f t="shared" si="6"/>
        <v xml:space="preserve"> </v>
      </c>
      <c r="R92" s="91" t="str">
        <f>IF($C$4="High Inventory",IF(AND(O92&gt;=Summary!$C$106,P92&gt;=Summary!$C$107),"X"," "),IF(AND(O92&lt;=-Summary!$C$106,P92&lt;=-Summary!$C$107),"X"," "))</f>
        <v xml:space="preserve"> </v>
      </c>
      <c r="S92" s="21" t="str">
        <f>IF(AND(L92-I92&gt;=Summary!$C$110,N92-K92&gt;Summary!$C$110,N92&gt;0),"X"," ")</f>
        <v xml:space="preserve"> </v>
      </c>
      <c r="T92" s="17" t="str">
        <f>IF($C$4="High Inventory",IF(AND($O92&gt;=Summary!$C$106,$P92&gt;=0%),"X"," "),IF(AND($O92&lt;=-Summary!$C$106,$P92&lt;=0%),"X"," "))</f>
        <v xml:space="preserve"> </v>
      </c>
      <c r="U92" s="21" t="str">
        <f>IF($C$4="High Inventory",IF(AND($O92&gt;=0,$P92&gt;=Summary!$C$107),"X"," "),IF(AND($O92&lt;=0,$P92&lt;=-Summary!$C$107),"X"," "))</f>
        <v xml:space="preserve"> </v>
      </c>
      <c r="V92" t="str">
        <f t="shared" si="12"/>
        <v xml:space="preserve"> </v>
      </c>
    </row>
    <row r="93" spans="1:22" x14ac:dyDescent="0.2">
      <c r="A93" s="42">
        <v>20566</v>
      </c>
      <c r="B93" s="77" t="s">
        <v>17</v>
      </c>
      <c r="C93" s="10">
        <v>0</v>
      </c>
      <c r="D93" s="5">
        <v>0</v>
      </c>
      <c r="E93" s="5">
        <v>0</v>
      </c>
      <c r="F93" s="10">
        <v>0</v>
      </c>
      <c r="G93" s="5">
        <v>0</v>
      </c>
      <c r="H93" s="5">
        <v>0</v>
      </c>
      <c r="I93" s="10">
        <v>0</v>
      </c>
      <c r="J93" s="5">
        <v>0</v>
      </c>
      <c r="K93" s="5">
        <v>0</v>
      </c>
      <c r="L93" s="10">
        <v>0</v>
      </c>
      <c r="M93" s="5">
        <v>0</v>
      </c>
      <c r="N93" s="5">
        <v>0</v>
      </c>
      <c r="O93" s="10">
        <f t="shared" si="10"/>
        <v>0</v>
      </c>
      <c r="P93" s="97">
        <f t="shared" si="11"/>
        <v>0</v>
      </c>
      <c r="Q93" s="101" t="str">
        <f t="shared" si="6"/>
        <v xml:space="preserve"> </v>
      </c>
      <c r="R93" s="91" t="str">
        <f>IF($C$4="High Inventory",IF(AND(O93&gt;=Summary!$C$106,P93&gt;=Summary!$C$107),"X"," "),IF(AND(O93&lt;=-Summary!$C$106,P93&lt;=-Summary!$C$107),"X"," "))</f>
        <v xml:space="preserve"> </v>
      </c>
      <c r="S93" s="21" t="str">
        <f>IF(AND(L93-I93&gt;=Summary!$C$110,N93-K93&gt;Summary!$C$110,N93&gt;0),"X"," ")</f>
        <v xml:space="preserve"> </v>
      </c>
      <c r="T93" s="17" t="str">
        <f>IF($C$4="High Inventory",IF(AND($O93&gt;=Summary!$C$106,$P93&gt;=0%),"X"," "),IF(AND($O93&lt;=-Summary!$C$106,$P93&lt;=0%),"X"," "))</f>
        <v xml:space="preserve"> </v>
      </c>
      <c r="U93" s="21" t="str">
        <f>IF($C$4="High Inventory",IF(AND($O93&gt;=0,$P93&gt;=Summary!$C$107),"X"," "),IF(AND($O93&lt;=0,$P93&lt;=-Summary!$C$107),"X"," "))</f>
        <v xml:space="preserve"> </v>
      </c>
      <c r="V93" t="str">
        <f t="shared" si="12"/>
        <v xml:space="preserve"> </v>
      </c>
    </row>
    <row r="94" spans="1:22" x14ac:dyDescent="0.2">
      <c r="A94" s="42">
        <v>25541</v>
      </c>
      <c r="B94" s="77" t="s">
        <v>17</v>
      </c>
      <c r="C94" s="10">
        <v>0</v>
      </c>
      <c r="D94" s="5">
        <v>55</v>
      </c>
      <c r="E94" s="5">
        <v>-55</v>
      </c>
      <c r="F94" s="10">
        <v>0</v>
      </c>
      <c r="G94" s="5">
        <v>43</v>
      </c>
      <c r="H94" s="5">
        <v>-43</v>
      </c>
      <c r="I94" s="10">
        <v>0</v>
      </c>
      <c r="J94" s="5">
        <v>45</v>
      </c>
      <c r="K94" s="5">
        <v>-45</v>
      </c>
      <c r="L94" s="10">
        <v>0</v>
      </c>
      <c r="M94" s="5">
        <v>9</v>
      </c>
      <c r="N94" s="5">
        <v>-9</v>
      </c>
      <c r="O94" s="10">
        <f>K94+H94+E94</f>
        <v>-143</v>
      </c>
      <c r="P94" s="97">
        <f>O94/(J94+G94+D94+1)</f>
        <v>-0.99305555555555558</v>
      </c>
      <c r="Q94" s="101" t="str">
        <f t="shared" si="6"/>
        <v xml:space="preserve"> </v>
      </c>
      <c r="R94" s="91" t="str">
        <f>IF($C$4="High Inventory",IF(AND(O94&gt;=Summary!$C$106,P94&gt;=Summary!$C$107),"X"," "),IF(AND(O94&lt;=-Summary!$C$106,P94&lt;=-Summary!$C$107),"X"," "))</f>
        <v xml:space="preserve"> </v>
      </c>
      <c r="S94" s="21" t="str">
        <f>IF(AND(L94-I94&gt;=Summary!$C$110,N94-K94&gt;Summary!$C$110,N94&gt;0),"X"," ")</f>
        <v xml:space="preserve"> </v>
      </c>
      <c r="T94" s="17" t="str">
        <f>IF($C$4="High Inventory",IF(AND($O94&gt;=Summary!$C$106,$P94&gt;=0%),"X"," "),IF(AND($O94&lt;=-Summary!$C$106,$P94&lt;=0%),"X"," "))</f>
        <v xml:space="preserve"> </v>
      </c>
      <c r="U94" s="21" t="str">
        <f>IF($C$4="High Inventory",IF(AND($O94&gt;=0,$P94&gt;=Summary!$C$107),"X"," "),IF(AND($O94&lt;=0,$P94&lt;=-Summary!$C$107),"X"," "))</f>
        <v xml:space="preserve"> </v>
      </c>
      <c r="V94" t="str">
        <f t="shared" si="12"/>
        <v xml:space="preserve"> </v>
      </c>
    </row>
    <row r="95" spans="1:22" x14ac:dyDescent="0.2">
      <c r="A95" s="42">
        <v>28369</v>
      </c>
      <c r="B95" s="77" t="s">
        <v>17</v>
      </c>
      <c r="C95" s="10">
        <v>0</v>
      </c>
      <c r="D95" s="5">
        <v>54</v>
      </c>
      <c r="E95" s="5">
        <v>-54</v>
      </c>
      <c r="F95" s="10">
        <v>0</v>
      </c>
      <c r="G95" s="5">
        <v>54</v>
      </c>
      <c r="H95" s="5">
        <v>-54</v>
      </c>
      <c r="I95" s="10">
        <v>0</v>
      </c>
      <c r="J95" s="5">
        <v>54</v>
      </c>
      <c r="K95" s="5">
        <v>-54</v>
      </c>
      <c r="L95" s="10">
        <v>0</v>
      </c>
      <c r="M95" s="5">
        <v>54</v>
      </c>
      <c r="N95" s="5">
        <v>-54</v>
      </c>
      <c r="O95" s="10">
        <f>K95+H95+E95</f>
        <v>-162</v>
      </c>
      <c r="P95" s="97">
        <f>O95/(J95+G95+D95+1)</f>
        <v>-0.99386503067484666</v>
      </c>
      <c r="Q95" s="101" t="str">
        <f t="shared" si="6"/>
        <v xml:space="preserve"> </v>
      </c>
      <c r="R95" s="91" t="str">
        <f>IF($C$4="High Inventory",IF(AND(O95&gt;=Summary!$C$106,P95&gt;=Summary!$C$107),"X"," "),IF(AND(O95&lt;=-Summary!$C$106,P95&lt;=-Summary!$C$107),"X"," "))</f>
        <v xml:space="preserve"> </v>
      </c>
      <c r="S95" s="21" t="str">
        <f>IF(AND(L95-I95&gt;=Summary!$C$110,N95-K95&gt;Summary!$C$110,N95&gt;0),"X"," ")</f>
        <v xml:space="preserve"> </v>
      </c>
      <c r="T95" s="17" t="str">
        <f>IF($C$4="High Inventory",IF(AND($O95&gt;=Summary!$C$106,$P95&gt;=0%),"X"," "),IF(AND($O95&lt;=-Summary!$C$106,$P95&lt;=0%),"X"," "))</f>
        <v xml:space="preserve"> </v>
      </c>
      <c r="U95" s="21" t="str">
        <f>IF($C$4="High Inventory",IF(AND($O95&gt;=0,$P95&gt;=Summary!$C$107),"X"," "),IF(AND($O95&lt;=0,$P95&lt;=-Summary!$C$107),"X"," "))</f>
        <v xml:space="preserve"> </v>
      </c>
      <c r="V95" t="str">
        <f t="shared" si="12"/>
        <v xml:space="preserve"> </v>
      </c>
    </row>
    <row r="96" spans="1:22" s="3" customFormat="1" x14ac:dyDescent="0.2">
      <c r="A96" s="2" t="s">
        <v>18</v>
      </c>
      <c r="B96" s="2"/>
      <c r="E96" s="3">
        <f>SUM(E10:E95)</f>
        <v>-131858</v>
      </c>
      <c r="H96" s="3">
        <f>SUM(H10:H95)</f>
        <v>92297</v>
      </c>
      <c r="K96" s="3">
        <f>SUM(K10:K95)</f>
        <v>-25740</v>
      </c>
      <c r="M96" s="3">
        <f>SUM(M10:M95)</f>
        <v>1468554</v>
      </c>
      <c r="N96" s="3">
        <f>SUM(N10:N95)</f>
        <v>11692</v>
      </c>
      <c r="Q96" s="2">
        <f>COUNTIF(Q10:Q95,"X")</f>
        <v>6</v>
      </c>
      <c r="R96" s="2">
        <f>COUNTIF(R10:R95,"X")</f>
        <v>7</v>
      </c>
      <c r="S96" s="2">
        <f>COUNTIF(S10:S95,"X")</f>
        <v>3</v>
      </c>
      <c r="T96" s="2">
        <f>COUNTIF(T10:T95,"X")</f>
        <v>9</v>
      </c>
      <c r="U96" s="2">
        <f>COUNTIF(U10:U95,"X")</f>
        <v>12</v>
      </c>
      <c r="V96" t="str">
        <f t="shared" si="12"/>
        <v xml:space="preserve"> </v>
      </c>
    </row>
    <row r="97" spans="13:22" x14ac:dyDescent="0.2">
      <c r="M97" s="115" t="s">
        <v>57</v>
      </c>
      <c r="N97" s="116">
        <f>N96/M96</f>
        <v>7.961573084816766E-3</v>
      </c>
      <c r="V97">
        <f>SUM(V$59:V$89)+SUM(V$31:V$53)+SUM(V$10:V$26)</f>
        <v>87331</v>
      </c>
    </row>
  </sheetData>
  <mergeCells count="1">
    <mergeCell ref="R6:S6"/>
  </mergeCells>
  <pageMargins left="0.25" right="0.25" top="0.56000000000000005" bottom="1" header="0.44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9"/>
  <sheetViews>
    <sheetView zoomScale="75" workbookViewId="0">
      <pane xSplit="1" ySplit="9" topLeftCell="B10" activePane="bottomRight" state="frozen"/>
      <selection pane="topRight" activeCell="C1" sqref="C1"/>
      <selection pane="bottomLeft" activeCell="A10" sqref="A10"/>
      <selection pane="bottomRight" activeCell="B10" sqref="B10"/>
    </sheetView>
  </sheetViews>
  <sheetFormatPr defaultColWidth="7.85546875" defaultRowHeight="12.75" x14ac:dyDescent="0.2"/>
  <cols>
    <col min="1" max="1" width="9.42578125" style="43" customWidth="1"/>
    <col min="2" max="2" width="10" style="43" customWidth="1"/>
    <col min="3" max="19" width="10" customWidth="1"/>
    <col min="20" max="22" width="10" hidden="1" customWidth="1"/>
    <col min="23" max="25" width="10" customWidth="1"/>
    <col min="26" max="252" width="9.140625" customWidth="1"/>
  </cols>
  <sheetData>
    <row r="1" spans="1:22" ht="18" x14ac:dyDescent="0.25">
      <c r="A1" s="80" t="s">
        <v>45</v>
      </c>
    </row>
    <row r="2" spans="1:22" ht="18" x14ac:dyDescent="0.2">
      <c r="A2" s="113" t="s">
        <v>24</v>
      </c>
    </row>
    <row r="3" spans="1:22" ht="18.75" customHeight="1" x14ac:dyDescent="0.25">
      <c r="A3" s="81" t="s">
        <v>25</v>
      </c>
      <c r="C3" s="20">
        <f>L8</f>
        <v>36632</v>
      </c>
      <c r="D3" s="19"/>
    </row>
    <row r="4" spans="1:22" ht="15.75" x14ac:dyDescent="0.25">
      <c r="A4" s="81" t="s">
        <v>26</v>
      </c>
      <c r="C4" s="4" t="s">
        <v>27</v>
      </c>
      <c r="E4" s="4" t="s">
        <v>59</v>
      </c>
    </row>
    <row r="5" spans="1:22" ht="16.5" thickBot="1" x14ac:dyDescent="0.3">
      <c r="A5" s="81" t="s">
        <v>28</v>
      </c>
      <c r="C5" s="4" t="s">
        <v>42</v>
      </c>
    </row>
    <row r="6" spans="1:22" ht="20.25" customHeight="1" thickBot="1" x14ac:dyDescent="0.25">
      <c r="R6" s="219" t="s">
        <v>35</v>
      </c>
      <c r="S6" s="220"/>
    </row>
    <row r="7" spans="1:22" s="85" customFormat="1" ht="54" customHeight="1" thickBot="1" x14ac:dyDescent="0.25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56</v>
      </c>
      <c r="Q7" s="122" t="s">
        <v>36</v>
      </c>
      <c r="R7" s="82" t="s">
        <v>50</v>
      </c>
      <c r="S7" s="109" t="s">
        <v>70</v>
      </c>
      <c r="T7" s="98" t="s">
        <v>51</v>
      </c>
      <c r="U7" s="102" t="s">
        <v>52</v>
      </c>
      <c r="V7" s="98"/>
    </row>
    <row r="8" spans="1:22" s="76" customFormat="1" ht="15.95" customHeight="1" thickBot="1" x14ac:dyDescent="0.25">
      <c r="A8" s="78"/>
      <c r="B8" s="79"/>
      <c r="C8" s="73">
        <v>36629</v>
      </c>
      <c r="D8" s="74"/>
      <c r="E8" s="75" t="str">
        <f>TEXT(WEEKDAY(C8),"dddd")</f>
        <v>Thursday</v>
      </c>
      <c r="F8" s="73">
        <v>36630</v>
      </c>
      <c r="G8" s="74"/>
      <c r="H8" s="75" t="str">
        <f>TEXT(WEEKDAY(F8),"dddd")</f>
        <v>Friday</v>
      </c>
      <c r="I8" s="73">
        <v>36631</v>
      </c>
      <c r="J8" s="74"/>
      <c r="K8" s="75" t="str">
        <f>TEXT(WEEKDAY(I8),"dddd")</f>
        <v>Saturday</v>
      </c>
      <c r="L8" s="73">
        <v>36632</v>
      </c>
      <c r="M8" s="74"/>
      <c r="N8" s="75" t="str">
        <f>TEXT(WEEKDAY(L8),"dddd")</f>
        <v>Sunday</v>
      </c>
      <c r="O8" s="71"/>
      <c r="P8" s="95"/>
      <c r="Q8" s="204"/>
      <c r="R8" s="128"/>
      <c r="S8" s="156">
        <f>Summary!$C$110</f>
        <v>5000</v>
      </c>
      <c r="T8" s="137"/>
      <c r="U8" s="139"/>
    </row>
    <row r="9" spans="1:22" ht="51" hidden="1" x14ac:dyDescent="0.2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4" si="0">K9+H9+E9</f>
        <v>#VALUE!</v>
      </c>
      <c r="P9" s="5"/>
      <c r="Q9" s="118"/>
      <c r="R9" s="138"/>
      <c r="U9" s="103"/>
    </row>
    <row r="10" spans="1:22" x14ac:dyDescent="0.2">
      <c r="A10" s="42">
        <v>1117</v>
      </c>
      <c r="B10" s="77" t="s">
        <v>8</v>
      </c>
      <c r="C10" s="10">
        <v>310</v>
      </c>
      <c r="D10" s="5">
        <v>227</v>
      </c>
      <c r="E10" s="5">
        <v>83</v>
      </c>
      <c r="F10" s="10">
        <v>310</v>
      </c>
      <c r="G10" s="5">
        <v>233</v>
      </c>
      <c r="H10" s="5">
        <v>77</v>
      </c>
      <c r="I10" s="10">
        <v>0</v>
      </c>
      <c r="J10" s="5">
        <v>213</v>
      </c>
      <c r="K10" s="5">
        <v>-213</v>
      </c>
      <c r="L10" s="10">
        <v>310</v>
      </c>
      <c r="M10" s="5">
        <v>235</v>
      </c>
      <c r="N10" s="5">
        <v>75</v>
      </c>
      <c r="O10" s="10">
        <f t="shared" si="0"/>
        <v>-53</v>
      </c>
      <c r="P10" s="97">
        <f t="shared" ref="P10:P54" si="1">O10/(J10+G10+D10+1)</f>
        <v>-7.8635014836795247E-2</v>
      </c>
      <c r="Q10" s="134" t="str">
        <f t="shared" ref="Q10:Q48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7" t="str">
        <f>IF($C$4="High Inventory",IF(AND($O10&gt;=Summary!$C$106,$P10&gt;=0%),"X"," "),IF(AND($O10&lt;=-Summary!$C$106,$P10&lt;=0%),"X"," "))</f>
        <v xml:space="preserve"> </v>
      </c>
      <c r="U10" s="140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">
      <c r="A11" s="42">
        <v>1126</v>
      </c>
      <c r="B11" s="77" t="s">
        <v>8</v>
      </c>
      <c r="C11" s="10">
        <v>0</v>
      </c>
      <c r="D11" s="5">
        <v>49</v>
      </c>
      <c r="E11" s="5">
        <v>-49</v>
      </c>
      <c r="F11" s="10">
        <v>0</v>
      </c>
      <c r="G11" s="5">
        <v>52</v>
      </c>
      <c r="H11" s="5">
        <v>-52</v>
      </c>
      <c r="I11" s="10">
        <v>0</v>
      </c>
      <c r="J11" s="5">
        <v>47</v>
      </c>
      <c r="K11" s="5">
        <v>-47</v>
      </c>
      <c r="L11" s="10">
        <v>0</v>
      </c>
      <c r="M11" s="5">
        <v>49</v>
      </c>
      <c r="N11" s="5">
        <v>-49</v>
      </c>
      <c r="O11" s="10">
        <f t="shared" si="0"/>
        <v>-148</v>
      </c>
      <c r="P11" s="97">
        <f t="shared" si="1"/>
        <v>-0.99328859060402686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140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">
      <c r="A12" s="42">
        <v>1157</v>
      </c>
      <c r="B12" s="77" t="s">
        <v>8</v>
      </c>
      <c r="C12" s="10">
        <v>100</v>
      </c>
      <c r="D12" s="5">
        <v>91</v>
      </c>
      <c r="E12" s="5">
        <v>9</v>
      </c>
      <c r="F12" s="10">
        <v>100</v>
      </c>
      <c r="G12" s="5">
        <v>91</v>
      </c>
      <c r="H12" s="5">
        <v>9</v>
      </c>
      <c r="I12" s="10">
        <v>100</v>
      </c>
      <c r="J12" s="5">
        <v>82</v>
      </c>
      <c r="K12" s="5">
        <v>18</v>
      </c>
      <c r="L12" s="10">
        <v>100</v>
      </c>
      <c r="M12" s="5">
        <v>96</v>
      </c>
      <c r="N12" s="5">
        <v>4</v>
      </c>
      <c r="O12" s="10">
        <f t="shared" si="0"/>
        <v>36</v>
      </c>
      <c r="P12" s="97">
        <f t="shared" si="1"/>
        <v>0.13584905660377358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140" t="str">
        <f>IF($C$4="High Inventory",IF(AND($O12&gt;=0,$P12&gt;=Summary!$C$107),"X"," "),IF(AND($O12&lt;=0,$P12&lt;=-Summary!$C$107),"X"," "))</f>
        <v>X</v>
      </c>
      <c r="V12" t="str">
        <f t="shared" si="3"/>
        <v xml:space="preserve"> </v>
      </c>
    </row>
    <row r="13" spans="1:22" x14ac:dyDescent="0.2">
      <c r="A13" s="42">
        <v>1780</v>
      </c>
      <c r="B13" s="77" t="s">
        <v>8</v>
      </c>
      <c r="C13" s="10">
        <v>1210</v>
      </c>
      <c r="D13" s="5">
        <v>1477</v>
      </c>
      <c r="E13" s="5">
        <v>-267</v>
      </c>
      <c r="F13" s="10">
        <v>1210</v>
      </c>
      <c r="G13" s="5">
        <v>1529</v>
      </c>
      <c r="H13" s="5">
        <v>-319</v>
      </c>
      <c r="I13" s="10">
        <v>1210</v>
      </c>
      <c r="J13" s="5">
        <v>1408</v>
      </c>
      <c r="K13" s="5">
        <v>-198</v>
      </c>
      <c r="L13" s="10">
        <v>1210</v>
      </c>
      <c r="M13" s="5">
        <v>1587</v>
      </c>
      <c r="N13" s="5">
        <v>-377</v>
      </c>
      <c r="O13" s="10">
        <f t="shared" si="0"/>
        <v>-784</v>
      </c>
      <c r="P13" s="97">
        <f t="shared" si="1"/>
        <v>-0.17757644394110986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140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">
      <c r="A14" s="42">
        <v>2280</v>
      </c>
      <c r="B14" s="77" t="s">
        <v>8</v>
      </c>
      <c r="C14" s="10">
        <v>443</v>
      </c>
      <c r="D14" s="5">
        <v>465</v>
      </c>
      <c r="E14" s="5">
        <v>-22</v>
      </c>
      <c r="F14" s="10">
        <v>443</v>
      </c>
      <c r="G14" s="5">
        <v>462</v>
      </c>
      <c r="H14" s="5">
        <v>-19</v>
      </c>
      <c r="I14" s="10">
        <v>443</v>
      </c>
      <c r="J14" s="5">
        <v>422</v>
      </c>
      <c r="K14" s="5">
        <v>21</v>
      </c>
      <c r="L14" s="10">
        <v>443</v>
      </c>
      <c r="M14" s="5">
        <v>467</v>
      </c>
      <c r="N14" s="5">
        <v>-24</v>
      </c>
      <c r="O14" s="10">
        <f t="shared" si="0"/>
        <v>-20</v>
      </c>
      <c r="P14" s="97">
        <f t="shared" si="1"/>
        <v>-1.4814814814814815E-2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140" t="str">
        <f>IF($C$4="High Inventory",IF(AND($O14&gt;=0,$P14&gt;=Summary!$C$107),"X"," "),IF(AND($O14&lt;=0,$P14&lt;=-Summary!$C$107),"X"," "))</f>
        <v xml:space="preserve"> </v>
      </c>
      <c r="V14" t="str">
        <f t="shared" si="3"/>
        <v xml:space="preserve"> </v>
      </c>
    </row>
    <row r="15" spans="1:22" x14ac:dyDescent="0.2">
      <c r="A15" s="42">
        <v>2584</v>
      </c>
      <c r="B15" s="77" t="s">
        <v>8</v>
      </c>
      <c r="C15" s="10">
        <v>3800</v>
      </c>
      <c r="D15" s="5">
        <v>3437</v>
      </c>
      <c r="E15" s="5">
        <v>363</v>
      </c>
      <c r="F15" s="10">
        <v>3800</v>
      </c>
      <c r="G15" s="5">
        <v>3472</v>
      </c>
      <c r="H15" s="5">
        <v>328</v>
      </c>
      <c r="I15" s="10">
        <v>3800</v>
      </c>
      <c r="J15" s="5">
        <v>3188</v>
      </c>
      <c r="K15" s="5">
        <v>612</v>
      </c>
      <c r="L15" s="10">
        <v>3800</v>
      </c>
      <c r="M15" s="5">
        <v>3507</v>
      </c>
      <c r="N15" s="5">
        <v>293</v>
      </c>
      <c r="O15" s="10">
        <f t="shared" si="0"/>
        <v>1303</v>
      </c>
      <c r="P15" s="97">
        <f t="shared" si="1"/>
        <v>0.12903545256486432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140" t="str">
        <f>IF($C$4="High Inventory",IF(AND($O15&gt;=0,$P15&gt;=Summary!$C$107),"X"," "),IF(AND($O15&lt;=0,$P15&lt;=-Summary!$C$107),"X"," "))</f>
        <v>X</v>
      </c>
      <c r="V15" t="str">
        <f t="shared" si="3"/>
        <v xml:space="preserve"> </v>
      </c>
    </row>
    <row r="16" spans="1:22" x14ac:dyDescent="0.2">
      <c r="A16" s="42">
        <v>2771</v>
      </c>
      <c r="B16" s="77" t="s">
        <v>8</v>
      </c>
      <c r="C16" s="10">
        <v>7800</v>
      </c>
      <c r="D16" s="5">
        <v>6195</v>
      </c>
      <c r="E16" s="5">
        <v>1605</v>
      </c>
      <c r="F16" s="10">
        <v>5600</v>
      </c>
      <c r="G16" s="5">
        <v>6229</v>
      </c>
      <c r="H16" s="5">
        <v>-629</v>
      </c>
      <c r="I16" s="10">
        <v>5600</v>
      </c>
      <c r="J16" s="5">
        <v>5725</v>
      </c>
      <c r="K16" s="5">
        <v>-125</v>
      </c>
      <c r="L16" s="10">
        <v>29062</v>
      </c>
      <c r="M16" s="5">
        <v>6298</v>
      </c>
      <c r="N16" s="5">
        <v>22764</v>
      </c>
      <c r="O16" s="10">
        <f t="shared" si="0"/>
        <v>851</v>
      </c>
      <c r="P16" s="97">
        <f t="shared" si="1"/>
        <v>4.6887052341597797E-2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>X</v>
      </c>
      <c r="T16" s="17" t="str">
        <f>IF($C$4="High Inventory",IF(AND($O16&gt;=Summary!$C$106,$P16&gt;=0%),"X"," "),IF(AND($O16&lt;=-Summary!$C$106,$P16&lt;=0%),"X"," "))</f>
        <v xml:space="preserve"> </v>
      </c>
      <c r="U16" s="140" t="str">
        <f>IF($C$4="High Inventory",IF(AND($O16&gt;=0,$P16&gt;=Summary!$C$107),"X"," "),IF(AND($O16&lt;=0,$P16&lt;=-Summary!$C$107),"X"," "))</f>
        <v xml:space="preserve"> </v>
      </c>
      <c r="V16">
        <f t="shared" si="3"/>
        <v>23462</v>
      </c>
    </row>
    <row r="17" spans="1:22" x14ac:dyDescent="0.2">
      <c r="A17" s="42">
        <v>2832</v>
      </c>
      <c r="B17" s="77" t="s">
        <v>8</v>
      </c>
      <c r="C17" s="10">
        <v>1033</v>
      </c>
      <c r="D17" s="5">
        <v>908</v>
      </c>
      <c r="E17" s="5">
        <v>125</v>
      </c>
      <c r="F17" s="10">
        <v>1033</v>
      </c>
      <c r="G17" s="5">
        <v>920</v>
      </c>
      <c r="H17" s="5">
        <v>113</v>
      </c>
      <c r="I17" s="10">
        <v>1033</v>
      </c>
      <c r="J17" s="5">
        <v>848</v>
      </c>
      <c r="K17" s="5">
        <v>185</v>
      </c>
      <c r="L17" s="10">
        <v>1033</v>
      </c>
      <c r="M17" s="5">
        <v>934</v>
      </c>
      <c r="N17" s="5">
        <v>99</v>
      </c>
      <c r="O17" s="10">
        <f t="shared" si="0"/>
        <v>423</v>
      </c>
      <c r="P17" s="97">
        <f t="shared" si="1"/>
        <v>0.15801270078446022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140" t="str">
        <f>IF($C$4="High Inventory",IF(AND($O17&gt;=0,$P17&gt;=Summary!$C$107),"X"," "),IF(AND($O17&lt;=0,$P17&lt;=-Summary!$C$107),"X"," "))</f>
        <v>X</v>
      </c>
      <c r="V17" t="str">
        <f t="shared" si="3"/>
        <v xml:space="preserve"> </v>
      </c>
    </row>
    <row r="18" spans="1:22" x14ac:dyDescent="0.2">
      <c r="A18" s="42">
        <v>2892</v>
      </c>
      <c r="B18" s="77" t="s">
        <v>8</v>
      </c>
      <c r="C18" s="10">
        <v>5307</v>
      </c>
      <c r="D18" s="5">
        <v>4177</v>
      </c>
      <c r="E18" s="5">
        <v>1130</v>
      </c>
      <c r="F18" s="10">
        <v>5307</v>
      </c>
      <c r="G18" s="5">
        <v>4109</v>
      </c>
      <c r="H18" s="5">
        <v>1198</v>
      </c>
      <c r="I18" s="10">
        <v>5307</v>
      </c>
      <c r="J18" s="5">
        <v>3782</v>
      </c>
      <c r="K18" s="5">
        <v>1525</v>
      </c>
      <c r="L18" s="10">
        <v>5283</v>
      </c>
      <c r="M18" s="5">
        <v>4183</v>
      </c>
      <c r="N18" s="5">
        <v>1100</v>
      </c>
      <c r="O18" s="10">
        <f t="shared" si="0"/>
        <v>3853</v>
      </c>
      <c r="P18" s="97">
        <f t="shared" si="1"/>
        <v>0.31924765929240201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140" t="str">
        <f>IF($C$4="High Inventory",IF(AND($O18&gt;=0,$P18&gt;=Summary!$C$107),"X"," "),IF(AND($O18&lt;=0,$P18&lt;=-Summary!$C$107),"X"," "))</f>
        <v>X</v>
      </c>
      <c r="V18" t="str">
        <f t="shared" si="3"/>
        <v xml:space="preserve"> </v>
      </c>
    </row>
    <row r="19" spans="1:22" x14ac:dyDescent="0.2">
      <c r="A19" s="42">
        <v>2939</v>
      </c>
      <c r="B19" s="77" t="s">
        <v>8</v>
      </c>
      <c r="C19" s="10">
        <v>0</v>
      </c>
      <c r="D19" s="5">
        <v>1733</v>
      </c>
      <c r="E19" s="5">
        <v>-1733</v>
      </c>
      <c r="F19" s="10">
        <v>0</v>
      </c>
      <c r="G19" s="5">
        <v>1763</v>
      </c>
      <c r="H19" s="5">
        <v>-1763</v>
      </c>
      <c r="I19" s="10">
        <v>768</v>
      </c>
      <c r="J19" s="5">
        <v>1619</v>
      </c>
      <c r="K19" s="5">
        <v>-851</v>
      </c>
      <c r="L19" s="10">
        <v>768</v>
      </c>
      <c r="M19" s="5">
        <v>1784</v>
      </c>
      <c r="N19" s="5">
        <v>-1016</v>
      </c>
      <c r="O19" s="10">
        <f t="shared" si="0"/>
        <v>-4347</v>
      </c>
      <c r="P19" s="97">
        <f t="shared" si="1"/>
        <v>-0.84968725566849101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140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">
      <c r="A20" s="42">
        <v>3152</v>
      </c>
      <c r="B20" s="77" t="s">
        <v>8</v>
      </c>
      <c r="C20" s="10">
        <v>8985</v>
      </c>
      <c r="D20" s="5">
        <v>8247</v>
      </c>
      <c r="E20" s="5">
        <v>738</v>
      </c>
      <c r="F20" s="10">
        <v>8985</v>
      </c>
      <c r="G20" s="5">
        <v>8506</v>
      </c>
      <c r="H20" s="5">
        <v>479</v>
      </c>
      <c r="I20" s="10">
        <v>8985</v>
      </c>
      <c r="J20" s="5">
        <v>7854</v>
      </c>
      <c r="K20" s="5">
        <v>1131</v>
      </c>
      <c r="L20" s="10">
        <v>8985</v>
      </c>
      <c r="M20" s="5">
        <v>8599</v>
      </c>
      <c r="N20" s="5">
        <v>386</v>
      </c>
      <c r="O20" s="10">
        <f t="shared" si="0"/>
        <v>2348</v>
      </c>
      <c r="P20" s="9">
        <f t="shared" si="1"/>
        <v>9.5416124837451238E-2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140" t="str">
        <f>IF($C$4="High Inventory",IF(AND($O20&gt;=0,$P20&gt;=Summary!$C$107),"X"," "),IF(AND($O20&lt;=0,$P20&lt;=-Summary!$C$107),"X"," "))</f>
        <v xml:space="preserve"> </v>
      </c>
      <c r="V20" t="str">
        <f t="shared" si="3"/>
        <v xml:space="preserve"> </v>
      </c>
    </row>
    <row r="21" spans="1:22" x14ac:dyDescent="0.2">
      <c r="A21" s="42">
        <v>4303</v>
      </c>
      <c r="B21" s="77" t="s">
        <v>8</v>
      </c>
      <c r="C21" s="10">
        <v>1968</v>
      </c>
      <c r="D21" s="5">
        <v>2205</v>
      </c>
      <c r="E21" s="5">
        <v>-237</v>
      </c>
      <c r="F21" s="10">
        <v>2188</v>
      </c>
      <c r="G21" s="5">
        <v>2255</v>
      </c>
      <c r="H21" s="5">
        <v>-67</v>
      </c>
      <c r="I21" s="10">
        <v>2118</v>
      </c>
      <c r="J21" s="5">
        <v>2069</v>
      </c>
      <c r="K21" s="5">
        <v>49</v>
      </c>
      <c r="L21" s="10">
        <v>2118</v>
      </c>
      <c r="M21" s="5">
        <v>2300</v>
      </c>
      <c r="N21" s="5">
        <v>-182</v>
      </c>
      <c r="O21" s="10">
        <f t="shared" si="0"/>
        <v>-255</v>
      </c>
      <c r="P21" s="9">
        <f t="shared" si="1"/>
        <v>-3.9050535987748852E-2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140" t="str">
        <f>IF($C$4="High Inventory",IF(AND($O21&gt;=0,$P21&gt;=Summary!$C$107),"X"," "),IF(AND($O21&lt;=0,$P21&lt;=-Summary!$C$107),"X"," "))</f>
        <v xml:space="preserve"> </v>
      </c>
      <c r="V21" t="str">
        <f t="shared" si="3"/>
        <v xml:space="preserve"> </v>
      </c>
    </row>
    <row r="22" spans="1:22" x14ac:dyDescent="0.2">
      <c r="A22" s="42">
        <v>6500</v>
      </c>
      <c r="B22" s="77" t="s">
        <v>8</v>
      </c>
      <c r="C22" s="10">
        <v>589588</v>
      </c>
      <c r="D22" s="5">
        <v>574662</v>
      </c>
      <c r="E22" s="5">
        <v>14926</v>
      </c>
      <c r="F22" s="10">
        <v>622523</v>
      </c>
      <c r="G22" s="5">
        <v>623512</v>
      </c>
      <c r="H22" s="5">
        <v>-989</v>
      </c>
      <c r="I22" s="10">
        <v>569434</v>
      </c>
      <c r="J22" s="5">
        <v>575652</v>
      </c>
      <c r="K22" s="5">
        <v>-6218</v>
      </c>
      <c r="L22" s="10">
        <v>624696</v>
      </c>
      <c r="M22" s="5">
        <v>638409</v>
      </c>
      <c r="N22" s="5">
        <v>-13713</v>
      </c>
      <c r="O22" s="10">
        <f t="shared" si="0"/>
        <v>7719</v>
      </c>
      <c r="P22" s="9">
        <f t="shared" si="1"/>
        <v>4.3516081331493994E-3</v>
      </c>
      <c r="Q22" s="17" t="s">
        <v>44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140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">
      <c r="A23" s="42">
        <v>10656</v>
      </c>
      <c r="B23" s="77" t="s">
        <v>8</v>
      </c>
      <c r="C23" s="10">
        <v>300</v>
      </c>
      <c r="D23" s="5">
        <v>219</v>
      </c>
      <c r="E23" s="5">
        <v>81</v>
      </c>
      <c r="F23" s="10">
        <v>300</v>
      </c>
      <c r="G23" s="5">
        <v>238</v>
      </c>
      <c r="H23" s="5">
        <v>62</v>
      </c>
      <c r="I23" s="10">
        <v>0</v>
      </c>
      <c r="J23" s="5">
        <v>217</v>
      </c>
      <c r="K23" s="5">
        <v>-217</v>
      </c>
      <c r="L23" s="10">
        <v>300</v>
      </c>
      <c r="M23" s="5">
        <v>262</v>
      </c>
      <c r="N23" s="5">
        <v>38</v>
      </c>
      <c r="O23" s="10">
        <f t="shared" si="0"/>
        <v>-74</v>
      </c>
      <c r="P23" s="9">
        <f t="shared" si="1"/>
        <v>-0.10962962962962963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140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">
      <c r="A24" s="42">
        <v>12296</v>
      </c>
      <c r="B24" s="77" t="s">
        <v>8</v>
      </c>
      <c r="C24" s="10">
        <v>2500</v>
      </c>
      <c r="D24" s="5">
        <v>2267</v>
      </c>
      <c r="E24" s="5">
        <v>233</v>
      </c>
      <c r="F24" s="10">
        <v>2500</v>
      </c>
      <c r="G24" s="5">
        <v>2272</v>
      </c>
      <c r="H24" s="5">
        <v>228</v>
      </c>
      <c r="I24" s="10">
        <v>2500</v>
      </c>
      <c r="J24" s="5">
        <v>2085</v>
      </c>
      <c r="K24" s="5">
        <v>415</v>
      </c>
      <c r="L24" s="10">
        <v>2500</v>
      </c>
      <c r="M24" s="5">
        <v>2304</v>
      </c>
      <c r="N24" s="5">
        <v>196</v>
      </c>
      <c r="O24" s="10">
        <f t="shared" si="0"/>
        <v>876</v>
      </c>
      <c r="P24" s="9">
        <f t="shared" si="1"/>
        <v>0.13222641509433963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140" t="str">
        <f>IF($C$4="High Inventory",IF(AND($O24&gt;=0,$P24&gt;=Summary!$C$107),"X"," "),IF(AND($O24&lt;=0,$P24&lt;=-Summary!$C$107),"X"," "))</f>
        <v>X</v>
      </c>
      <c r="V24" t="str">
        <f t="shared" si="3"/>
        <v xml:space="preserve"> </v>
      </c>
    </row>
    <row r="25" spans="1:22" x14ac:dyDescent="0.2">
      <c r="A25" s="42">
        <v>16786</v>
      </c>
      <c r="B25" s="77" t="s">
        <v>8</v>
      </c>
      <c r="C25" s="10">
        <v>3509</v>
      </c>
      <c r="D25" s="5">
        <v>3000</v>
      </c>
      <c r="E25" s="5">
        <v>509</v>
      </c>
      <c r="F25" s="10">
        <v>3509</v>
      </c>
      <c r="G25" s="5">
        <v>3218</v>
      </c>
      <c r="H25" s="5">
        <v>291</v>
      </c>
      <c r="I25" s="10">
        <v>3509</v>
      </c>
      <c r="J25" s="5">
        <v>2962</v>
      </c>
      <c r="K25" s="5">
        <v>547</v>
      </c>
      <c r="L25" s="10">
        <v>3509</v>
      </c>
      <c r="M25" s="5">
        <v>3289</v>
      </c>
      <c r="N25" s="5">
        <v>220</v>
      </c>
      <c r="O25" s="10">
        <f t="shared" si="0"/>
        <v>1347</v>
      </c>
      <c r="P25" s="9">
        <f t="shared" si="1"/>
        <v>0.14671604400392113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140" t="str">
        <f>IF($C$4="High Inventory",IF(AND($O25&gt;=0,$P25&gt;=Summary!$C$107),"X"," "),IF(AND($O25&lt;=0,$P25&lt;=-Summary!$C$107),"X"," "))</f>
        <v>X</v>
      </c>
      <c r="V25" t="str">
        <f t="shared" si="3"/>
        <v xml:space="preserve"> </v>
      </c>
    </row>
    <row r="26" spans="1:22" x14ac:dyDescent="0.2">
      <c r="A26" s="42">
        <v>17791</v>
      </c>
      <c r="B26" s="77" t="s">
        <v>8</v>
      </c>
      <c r="C26" s="10">
        <v>140</v>
      </c>
      <c r="D26" s="5">
        <v>288</v>
      </c>
      <c r="E26" s="5">
        <v>-148</v>
      </c>
      <c r="F26" s="10">
        <v>140</v>
      </c>
      <c r="G26" s="5">
        <v>299</v>
      </c>
      <c r="H26" s="5">
        <v>-159</v>
      </c>
      <c r="I26" s="10">
        <v>140</v>
      </c>
      <c r="J26" s="5">
        <v>275</v>
      </c>
      <c r="K26" s="5">
        <v>-135</v>
      </c>
      <c r="L26" s="10">
        <v>140</v>
      </c>
      <c r="M26" s="5">
        <v>306</v>
      </c>
      <c r="N26" s="5">
        <v>-166</v>
      </c>
      <c r="O26" s="10">
        <f t="shared" si="0"/>
        <v>-442</v>
      </c>
      <c r="P26" s="9">
        <f t="shared" si="1"/>
        <v>-0.51216685979142529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140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140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140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">
      <c r="A29" s="42"/>
      <c r="B29" s="77"/>
      <c r="C29" s="15">
        <v>36629</v>
      </c>
      <c r="D29" s="5"/>
      <c r="E29" s="5"/>
      <c r="F29" s="15">
        <v>36630</v>
      </c>
      <c r="G29" s="5"/>
      <c r="H29" s="5"/>
      <c r="I29" s="15">
        <v>36631</v>
      </c>
      <c r="J29" s="5"/>
      <c r="K29" s="5"/>
      <c r="L29" s="15">
        <v>36632</v>
      </c>
      <c r="M29" s="5"/>
      <c r="N29" s="5"/>
      <c r="O29" s="10">
        <f>K29+H29+E29</f>
        <v>0</v>
      </c>
      <c r="P29" s="9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140" t="str">
        <f>IF($C$4="High Inventory",IF(AND($O29&gt;=0,$P29&gt;=Summary!$C$107),"X"," "),IF(AND($O29&lt;=0,$P29&lt;=-Summary!$C$107),"X"," "))</f>
        <v xml:space="preserve"> </v>
      </c>
      <c r="V29" t="str">
        <f t="shared" si="3"/>
        <v xml:space="preserve"> </v>
      </c>
    </row>
    <row r="30" spans="1:22" hidden="1" x14ac:dyDescent="0.2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140" t="e">
        <f>IF($C$4="High Inventory",IF(AND($O30&gt;=0,$P30&gt;=Summary!$C$107),"X"," "),IF(AND($O30&lt;=0,$P30&lt;=-Summary!$C$107),"X"," "))</f>
        <v>#VALUE!</v>
      </c>
      <c r="V30" t="e">
        <f t="shared" si="3"/>
        <v>#VALUE!</v>
      </c>
    </row>
    <row r="31" spans="1:22" x14ac:dyDescent="0.2">
      <c r="A31" s="42">
        <v>1117</v>
      </c>
      <c r="B31" s="77" t="s">
        <v>15</v>
      </c>
      <c r="C31" s="10">
        <v>118340</v>
      </c>
      <c r="D31" s="5">
        <v>73198</v>
      </c>
      <c r="E31" s="5">
        <v>45142</v>
      </c>
      <c r="F31" s="10">
        <v>132792</v>
      </c>
      <c r="G31" s="5">
        <v>70149</v>
      </c>
      <c r="H31" s="5">
        <v>62643</v>
      </c>
      <c r="I31" s="10">
        <v>60024</v>
      </c>
      <c r="J31" s="5">
        <v>61439</v>
      </c>
      <c r="K31" s="5">
        <v>-1415</v>
      </c>
      <c r="L31" s="10">
        <v>59416</v>
      </c>
      <c r="M31" s="5">
        <v>57158</v>
      </c>
      <c r="N31" s="5">
        <v>2258</v>
      </c>
      <c r="O31" s="10">
        <f t="shared" si="0"/>
        <v>106370</v>
      </c>
      <c r="P31" s="9">
        <f t="shared" si="1"/>
        <v>0.51941773647741307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>X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140" t="str">
        <f>IF($C$4="High Inventory",IF(AND($O31&gt;=0,$P31&gt;=Summary!$C$107),"X"," "),IF(AND($O31&lt;=0,$P31&lt;=-Summary!$C$107),"X"," "))</f>
        <v>X</v>
      </c>
      <c r="V31" t="str">
        <f t="shared" si="3"/>
        <v xml:space="preserve"> </v>
      </c>
    </row>
    <row r="32" spans="1:22" x14ac:dyDescent="0.2">
      <c r="A32" s="42">
        <v>1126</v>
      </c>
      <c r="B32" s="77" t="s">
        <v>15</v>
      </c>
      <c r="C32" s="10">
        <v>32918</v>
      </c>
      <c r="D32" s="5">
        <v>26956</v>
      </c>
      <c r="E32" s="5">
        <v>5962</v>
      </c>
      <c r="F32" s="10">
        <v>32918</v>
      </c>
      <c r="G32" s="5">
        <v>27631</v>
      </c>
      <c r="H32" s="5">
        <v>5287</v>
      </c>
      <c r="I32" s="10">
        <v>32918</v>
      </c>
      <c r="J32" s="5">
        <v>26054</v>
      </c>
      <c r="K32" s="5">
        <v>6864</v>
      </c>
      <c r="L32" s="10">
        <v>32918</v>
      </c>
      <c r="M32" s="5">
        <v>25369</v>
      </c>
      <c r="N32" s="5">
        <v>7549</v>
      </c>
      <c r="O32" s="10">
        <f t="shared" si="0"/>
        <v>18113</v>
      </c>
      <c r="P32" s="9">
        <f t="shared" si="1"/>
        <v>0.22461000471218473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140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">
      <c r="A33" s="42">
        <v>1157</v>
      </c>
      <c r="B33" s="77" t="s">
        <v>15</v>
      </c>
      <c r="C33" s="10">
        <v>103786</v>
      </c>
      <c r="D33" s="5">
        <v>87983</v>
      </c>
      <c r="E33" s="5">
        <v>15803</v>
      </c>
      <c r="F33" s="10">
        <v>112563</v>
      </c>
      <c r="G33" s="5">
        <v>82617</v>
      </c>
      <c r="H33" s="5">
        <v>29946</v>
      </c>
      <c r="I33" s="10">
        <v>69005</v>
      </c>
      <c r="J33" s="5">
        <v>81217</v>
      </c>
      <c r="K33" s="5">
        <v>-12212</v>
      </c>
      <c r="L33" s="10">
        <v>74005</v>
      </c>
      <c r="M33" s="5">
        <v>70164</v>
      </c>
      <c r="N33" s="5">
        <v>3841</v>
      </c>
      <c r="O33" s="10">
        <f t="shared" si="0"/>
        <v>33537</v>
      </c>
      <c r="P33" s="9">
        <f t="shared" si="1"/>
        <v>0.13317951854116863</v>
      </c>
      <c r="Q33" s="101" t="str">
        <f t="shared" si="2"/>
        <v xml:space="preserve"> 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>X</v>
      </c>
      <c r="T33" s="17" t="str">
        <f>IF($C$4="High Inventory",IF(AND($O33&gt;=Summary!$C$106,$P33&gt;=0%),"X"," "),IF(AND($O33&lt;=-Summary!$C$106,$P33&lt;=0%),"X"," "))</f>
        <v>X</v>
      </c>
      <c r="U33" s="140" t="str">
        <f>IF($C$4="High Inventory",IF(AND($O33&gt;=0,$P33&gt;=Summary!$C$107),"X"," "),IF(AND($O33&lt;=0,$P33&lt;=-Summary!$C$107),"X"," "))</f>
        <v>X</v>
      </c>
      <c r="V33">
        <f t="shared" si="3"/>
        <v>5000</v>
      </c>
    </row>
    <row r="34" spans="1:22" x14ac:dyDescent="0.2">
      <c r="A34" s="42">
        <v>1281</v>
      </c>
      <c r="B34" s="77" t="s">
        <v>15</v>
      </c>
      <c r="C34" s="10">
        <v>32678</v>
      </c>
      <c r="D34" s="5">
        <v>25629</v>
      </c>
      <c r="E34" s="5">
        <v>7049</v>
      </c>
      <c r="F34" s="10">
        <v>13332</v>
      </c>
      <c r="G34" s="5">
        <v>33632</v>
      </c>
      <c r="H34" s="5">
        <v>-20300</v>
      </c>
      <c r="I34" s="10">
        <v>15448</v>
      </c>
      <c r="J34" s="5">
        <v>19523</v>
      </c>
      <c r="K34" s="5">
        <v>-4075</v>
      </c>
      <c r="L34" s="10">
        <v>22343</v>
      </c>
      <c r="M34" s="5">
        <v>15625</v>
      </c>
      <c r="N34" s="5">
        <v>6718</v>
      </c>
      <c r="O34" s="10">
        <f t="shared" si="0"/>
        <v>-17326</v>
      </c>
      <c r="P34" s="9">
        <f t="shared" si="1"/>
        <v>-0.21991495843117345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>X</v>
      </c>
      <c r="T34" s="17" t="str">
        <f>IF($C$4="High Inventory",IF(AND($O34&gt;=Summary!$C$106,$P34&gt;=0%),"X"," "),IF(AND($O34&lt;=-Summary!$C$106,$P34&lt;=0%),"X"," "))</f>
        <v xml:space="preserve"> </v>
      </c>
      <c r="U34" s="140" t="str">
        <f>IF($C$4="High Inventory",IF(AND($O34&gt;=0,$P34&gt;=Summary!$C$107),"X"," "),IF(AND($O34&lt;=0,$P34&lt;=-Summary!$C$107),"X"," "))</f>
        <v xml:space="preserve"> </v>
      </c>
      <c r="V34">
        <f t="shared" si="3"/>
        <v>6895</v>
      </c>
    </row>
    <row r="35" spans="1:22" x14ac:dyDescent="0.2">
      <c r="A35" s="42">
        <v>1340</v>
      </c>
      <c r="B35" s="77" t="s">
        <v>15</v>
      </c>
      <c r="C35" s="10">
        <v>8218</v>
      </c>
      <c r="D35" s="5">
        <v>4887</v>
      </c>
      <c r="E35" s="5">
        <v>3331</v>
      </c>
      <c r="F35" s="10">
        <v>8218</v>
      </c>
      <c r="G35" s="5">
        <v>4461</v>
      </c>
      <c r="H35" s="5">
        <v>3757</v>
      </c>
      <c r="I35" s="10">
        <v>5218</v>
      </c>
      <c r="J35" s="5">
        <v>2770</v>
      </c>
      <c r="K35" s="5">
        <v>2448</v>
      </c>
      <c r="L35" s="10">
        <v>5218</v>
      </c>
      <c r="M35" s="5">
        <v>2718</v>
      </c>
      <c r="N35" s="5">
        <v>2500</v>
      </c>
      <c r="O35" s="10">
        <f t="shared" si="0"/>
        <v>9536</v>
      </c>
      <c r="P35" s="9">
        <f t="shared" si="1"/>
        <v>0.7868636026074759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>X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>X</v>
      </c>
      <c r="U35" s="140" t="str">
        <f>IF($C$4="High Inventory",IF(AND($O35&gt;=0,$P35&gt;=Summary!$C$107),"X"," "),IF(AND($O35&lt;=0,$P35&lt;=-Summary!$C$107),"X"," "))</f>
        <v>X</v>
      </c>
      <c r="V35" t="str">
        <f t="shared" si="3"/>
        <v xml:space="preserve"> </v>
      </c>
    </row>
    <row r="36" spans="1:22" x14ac:dyDescent="0.2">
      <c r="A36" s="42">
        <v>1377</v>
      </c>
      <c r="B36" s="77" t="s">
        <v>15</v>
      </c>
      <c r="C36" s="10">
        <v>76915</v>
      </c>
      <c r="D36" s="5">
        <v>76037</v>
      </c>
      <c r="E36" s="5">
        <v>878</v>
      </c>
      <c r="F36" s="10">
        <v>85873</v>
      </c>
      <c r="G36" s="5">
        <v>74593</v>
      </c>
      <c r="H36" s="5">
        <v>11280</v>
      </c>
      <c r="I36" s="10">
        <v>54763</v>
      </c>
      <c r="J36" s="5">
        <v>62060</v>
      </c>
      <c r="K36" s="5">
        <v>-7297</v>
      </c>
      <c r="L36" s="10">
        <v>65734</v>
      </c>
      <c r="M36" s="5">
        <v>66660</v>
      </c>
      <c r="N36" s="5">
        <v>-926</v>
      </c>
      <c r="O36" s="10">
        <f t="shared" si="0"/>
        <v>4861</v>
      </c>
      <c r="P36" s="9">
        <f t="shared" si="1"/>
        <v>2.2854751729034138E-2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 xml:space="preserve"> </v>
      </c>
      <c r="U36" s="140" t="str">
        <f>IF($C$4="High Inventory",IF(AND($O36&gt;=0,$P36&gt;=Summary!$C$107),"X"," "),IF(AND($O36&lt;=0,$P36&lt;=-Summary!$C$107),"X"," "))</f>
        <v xml:space="preserve"> </v>
      </c>
      <c r="V36" t="str">
        <f t="shared" si="3"/>
        <v xml:space="preserve"> </v>
      </c>
    </row>
    <row r="37" spans="1:22" x14ac:dyDescent="0.2">
      <c r="A37" s="42">
        <v>1830</v>
      </c>
      <c r="B37" s="77" t="s">
        <v>15</v>
      </c>
      <c r="C37" s="10">
        <v>0</v>
      </c>
      <c r="D37" s="5">
        <v>1</v>
      </c>
      <c r="E37" s="5">
        <v>-1</v>
      </c>
      <c r="F37" s="10">
        <v>0</v>
      </c>
      <c r="G37" s="5">
        <v>1</v>
      </c>
      <c r="H37" s="5">
        <v>-1</v>
      </c>
      <c r="I37" s="10">
        <v>0</v>
      </c>
      <c r="J37" s="5">
        <v>1</v>
      </c>
      <c r="K37" s="5">
        <v>-1</v>
      </c>
      <c r="L37" s="10">
        <v>0</v>
      </c>
      <c r="M37" s="5">
        <v>1</v>
      </c>
      <c r="N37" s="5">
        <v>-1</v>
      </c>
      <c r="O37" s="10">
        <f t="shared" si="0"/>
        <v>-3</v>
      </c>
      <c r="P37" s="9">
        <f t="shared" si="1"/>
        <v>-0.75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140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">
      <c r="A38" s="42">
        <v>1864</v>
      </c>
      <c r="B38" s="77" t="s">
        <v>15</v>
      </c>
      <c r="C38" s="10">
        <v>66766</v>
      </c>
      <c r="D38" s="5">
        <v>58873</v>
      </c>
      <c r="E38" s="5">
        <v>7893</v>
      </c>
      <c r="F38" s="10">
        <v>24235</v>
      </c>
      <c r="G38" s="5">
        <v>72347</v>
      </c>
      <c r="H38" s="5">
        <v>-48112</v>
      </c>
      <c r="I38" s="10">
        <v>50052</v>
      </c>
      <c r="J38" s="5">
        <v>67346</v>
      </c>
      <c r="K38" s="5">
        <v>-17294</v>
      </c>
      <c r="L38" s="10">
        <v>40225</v>
      </c>
      <c r="M38" s="5">
        <v>57510</v>
      </c>
      <c r="N38" s="5">
        <v>-17285</v>
      </c>
      <c r="O38" s="10">
        <f t="shared" si="0"/>
        <v>-57513</v>
      </c>
      <c r="P38" s="9">
        <f t="shared" si="1"/>
        <v>-0.28964027255284108</v>
      </c>
      <c r="Q38" s="101" t="str">
        <f t="shared" si="2"/>
        <v xml:space="preserve"> 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 xml:space="preserve"> </v>
      </c>
      <c r="U38" s="140" t="str">
        <f>IF($C$4="High Inventory",IF(AND($O38&gt;=0,$P38&gt;=Summary!$C$107),"X"," "),IF(AND($O38&lt;=0,$P38&lt;=-Summary!$C$107),"X"," "))</f>
        <v xml:space="preserve"> </v>
      </c>
      <c r="V38" t="str">
        <f t="shared" si="3"/>
        <v xml:space="preserve"> </v>
      </c>
    </row>
    <row r="39" spans="1:22" x14ac:dyDescent="0.2">
      <c r="A39" s="42">
        <v>1922</v>
      </c>
      <c r="B39" s="77" t="s">
        <v>15</v>
      </c>
      <c r="C39" s="10">
        <v>41440</v>
      </c>
      <c r="D39" s="5">
        <v>40702</v>
      </c>
      <c r="E39" s="5">
        <v>738</v>
      </c>
      <c r="F39" s="10">
        <v>11442</v>
      </c>
      <c r="G39" s="5">
        <v>44009</v>
      </c>
      <c r="H39" s="5">
        <v>-32567</v>
      </c>
      <c r="I39" s="10">
        <v>45832</v>
      </c>
      <c r="J39" s="5">
        <v>35785</v>
      </c>
      <c r="K39" s="5">
        <v>10047</v>
      </c>
      <c r="L39" s="10">
        <v>26363</v>
      </c>
      <c r="M39" s="5">
        <v>34557</v>
      </c>
      <c r="N39" s="5">
        <v>-8194</v>
      </c>
      <c r="O39" s="10">
        <f t="shared" si="0"/>
        <v>-21782</v>
      </c>
      <c r="P39" s="9">
        <f t="shared" si="1"/>
        <v>-0.18076798592496079</v>
      </c>
      <c r="Q39" s="17" t="s">
        <v>44</v>
      </c>
      <c r="R39" s="91" t="str">
        <f>IF($C$4="High Inventory",IF(AND(O39&gt;=Summary!$C$106,P39&gt;=Summary!$C$107),"X"," "),IF(AND(O39&lt;=-Summary!$C$106,P39&lt;=-Summary!$C$107),"X"," "))</f>
        <v xml:space="preserve"> 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 xml:space="preserve"> </v>
      </c>
      <c r="U39" s="140" t="str">
        <f>IF($C$4="High Inventory",IF(AND($O39&gt;=0,$P39&gt;=Summary!$C$107),"X"," "),IF(AND($O39&lt;=0,$P39&lt;=-Summary!$C$107),"X"," "))</f>
        <v xml:space="preserve"> </v>
      </c>
      <c r="V39" t="str">
        <f t="shared" si="3"/>
        <v xml:space="preserve"> </v>
      </c>
    </row>
    <row r="40" spans="1:22" x14ac:dyDescent="0.2">
      <c r="A40" s="42">
        <v>1928</v>
      </c>
      <c r="B40" s="77" t="s">
        <v>15</v>
      </c>
      <c r="C40" s="10">
        <v>20189</v>
      </c>
      <c r="D40" s="5">
        <v>15383</v>
      </c>
      <c r="E40" s="5">
        <v>4806</v>
      </c>
      <c r="F40" s="10">
        <v>21689</v>
      </c>
      <c r="G40" s="5">
        <v>15202</v>
      </c>
      <c r="H40" s="5">
        <v>6487</v>
      </c>
      <c r="I40" s="10">
        <v>16689</v>
      </c>
      <c r="J40" s="5">
        <v>15446</v>
      </c>
      <c r="K40" s="5">
        <v>1243</v>
      </c>
      <c r="L40" s="10">
        <v>16689</v>
      </c>
      <c r="M40" s="5">
        <v>14400</v>
      </c>
      <c r="N40" s="5">
        <v>2289</v>
      </c>
      <c r="O40" s="10">
        <f t="shared" si="0"/>
        <v>12536</v>
      </c>
      <c r="P40" s="9">
        <f t="shared" si="1"/>
        <v>0.27233229058046576</v>
      </c>
      <c r="Q40" s="101" t="str">
        <f t="shared" si="2"/>
        <v xml:space="preserve"> </v>
      </c>
      <c r="R40" s="91" t="str">
        <f>IF($C$4="High Inventory",IF(AND(O40&gt;=Summary!$C$106,P40&gt;=Summary!$C$107),"X"," "),IF(AND(O40&lt;=-Summary!$C$106,P40&lt;=-Summary!$C$107),"X"," "))</f>
        <v>X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>X</v>
      </c>
      <c r="U40" s="140" t="str">
        <f>IF($C$4="High Inventory",IF(AND($O40&gt;=0,$P40&gt;=Summary!$C$107),"X"," "),IF(AND($O40&lt;=0,$P40&lt;=-Summary!$C$107),"X"," "))</f>
        <v>X</v>
      </c>
      <c r="V40" t="str">
        <f t="shared" si="3"/>
        <v xml:space="preserve"> </v>
      </c>
    </row>
    <row r="41" spans="1:22" x14ac:dyDescent="0.2">
      <c r="A41" s="42">
        <v>2056</v>
      </c>
      <c r="B41" s="77" t="s">
        <v>15</v>
      </c>
      <c r="C41" s="10">
        <v>70453</v>
      </c>
      <c r="D41" s="5">
        <v>73427</v>
      </c>
      <c r="E41" s="5">
        <v>-2974</v>
      </c>
      <c r="F41" s="10">
        <v>62368</v>
      </c>
      <c r="G41" s="5">
        <v>74288</v>
      </c>
      <c r="H41" s="5">
        <v>-11920</v>
      </c>
      <c r="I41" s="10">
        <v>62368</v>
      </c>
      <c r="J41" s="5">
        <v>64865</v>
      </c>
      <c r="K41" s="5">
        <v>-2497</v>
      </c>
      <c r="L41" s="10">
        <v>55840</v>
      </c>
      <c r="M41" s="5">
        <v>61285</v>
      </c>
      <c r="N41" s="5">
        <v>-5445</v>
      </c>
      <c r="O41" s="10">
        <f t="shared" si="0"/>
        <v>-17391</v>
      </c>
      <c r="P41" s="9">
        <f t="shared" si="1"/>
        <v>-8.1808816404100079E-2</v>
      </c>
      <c r="Q41" s="101" t="str">
        <f t="shared" si="2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 xml:space="preserve"> </v>
      </c>
      <c r="U41" s="140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">
      <c r="A42" s="42">
        <v>2280</v>
      </c>
      <c r="B42" s="77" t="s">
        <v>15</v>
      </c>
      <c r="C42" s="10">
        <v>5808</v>
      </c>
      <c r="D42" s="5">
        <v>6582</v>
      </c>
      <c r="E42" s="5">
        <v>-774</v>
      </c>
      <c r="F42" s="10">
        <v>5808</v>
      </c>
      <c r="G42" s="5">
        <v>6816</v>
      </c>
      <c r="H42" s="5">
        <v>-1008</v>
      </c>
      <c r="I42" s="10">
        <v>5808</v>
      </c>
      <c r="J42" s="5">
        <v>4242</v>
      </c>
      <c r="K42" s="5">
        <v>1566</v>
      </c>
      <c r="L42" s="10">
        <v>5808</v>
      </c>
      <c r="M42" s="5">
        <v>4186</v>
      </c>
      <c r="N42" s="5">
        <v>1622</v>
      </c>
      <c r="O42" s="10">
        <f t="shared" si="0"/>
        <v>-216</v>
      </c>
      <c r="P42" s="9">
        <f t="shared" si="1"/>
        <v>-1.224420384331954E-2</v>
      </c>
      <c r="Q42" s="101" t="str">
        <f t="shared" si="2"/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140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">
      <c r="A43" s="42">
        <v>2584</v>
      </c>
      <c r="B43" s="77" t="s">
        <v>15</v>
      </c>
      <c r="C43" s="10">
        <v>60937</v>
      </c>
      <c r="D43" s="5">
        <v>55134</v>
      </c>
      <c r="E43" s="5">
        <v>5803</v>
      </c>
      <c r="F43" s="10">
        <v>60937</v>
      </c>
      <c r="G43" s="5">
        <v>54058</v>
      </c>
      <c r="H43" s="5">
        <v>6879</v>
      </c>
      <c r="I43" s="10">
        <v>44082</v>
      </c>
      <c r="J43" s="5">
        <v>44785</v>
      </c>
      <c r="K43" s="5">
        <v>-703</v>
      </c>
      <c r="L43" s="10">
        <v>44082</v>
      </c>
      <c r="M43" s="5">
        <v>42927</v>
      </c>
      <c r="N43" s="5">
        <v>1155</v>
      </c>
      <c r="O43" s="10">
        <f t="shared" si="0"/>
        <v>11979</v>
      </c>
      <c r="P43" s="9">
        <f t="shared" si="1"/>
        <v>7.7796828118302616E-2</v>
      </c>
      <c r="Q43" s="101" t="str">
        <f t="shared" si="2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>X</v>
      </c>
      <c r="U43" s="140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">
      <c r="A44" s="42">
        <v>2771</v>
      </c>
      <c r="B44" s="77" t="s">
        <v>15</v>
      </c>
      <c r="C44" s="10">
        <v>38014</v>
      </c>
      <c r="D44" s="5">
        <v>31488</v>
      </c>
      <c r="E44" s="5">
        <v>6526</v>
      </c>
      <c r="F44" s="10">
        <v>18462</v>
      </c>
      <c r="G44" s="5">
        <v>33202</v>
      </c>
      <c r="H44" s="5">
        <v>-14740</v>
      </c>
      <c r="I44" s="10">
        <v>61402</v>
      </c>
      <c r="J44" s="5">
        <v>19224</v>
      </c>
      <c r="K44" s="5">
        <v>42178</v>
      </c>
      <c r="L44" s="10">
        <v>10000</v>
      </c>
      <c r="M44" s="5">
        <v>18690</v>
      </c>
      <c r="N44" s="5">
        <v>-8690</v>
      </c>
      <c r="O44" s="10">
        <f t="shared" si="0"/>
        <v>33964</v>
      </c>
      <c r="P44" s="9">
        <f t="shared" si="1"/>
        <v>0.40474289459572188</v>
      </c>
      <c r="Q44" s="17" t="s">
        <v>44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140" t="str">
        <f>IF($C$4="High Inventory",IF(AND($O44&gt;=0,$P44&gt;=Summary!$C$107),"X"," "),IF(AND($O44&lt;=0,$P44&lt;=-Summary!$C$107),"X"," "))</f>
        <v>X</v>
      </c>
      <c r="V44" t="str">
        <f t="shared" si="4"/>
        <v xml:space="preserve"> </v>
      </c>
    </row>
    <row r="45" spans="1:22" x14ac:dyDescent="0.2">
      <c r="A45" s="42">
        <v>2832</v>
      </c>
      <c r="B45" s="77" t="s">
        <v>15</v>
      </c>
      <c r="C45" s="10">
        <v>3600</v>
      </c>
      <c r="D45" s="5">
        <v>6055</v>
      </c>
      <c r="E45" s="5">
        <v>-2455</v>
      </c>
      <c r="F45" s="10">
        <v>8600</v>
      </c>
      <c r="G45" s="5">
        <v>6539</v>
      </c>
      <c r="H45" s="5">
        <v>2061</v>
      </c>
      <c r="I45" s="10">
        <v>3600</v>
      </c>
      <c r="J45" s="5">
        <v>5176</v>
      </c>
      <c r="K45" s="5">
        <v>-1576</v>
      </c>
      <c r="L45" s="10">
        <v>3600</v>
      </c>
      <c r="M45" s="5">
        <v>4996</v>
      </c>
      <c r="N45" s="5">
        <v>-1396</v>
      </c>
      <c r="O45" s="10">
        <f t="shared" si="0"/>
        <v>-1970</v>
      </c>
      <c r="P45" s="9">
        <f t="shared" si="1"/>
        <v>-0.11085476337853807</v>
      </c>
      <c r="Q45" s="101" t="str">
        <f t="shared" si="2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140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">
      <c r="A46" s="42">
        <v>2892</v>
      </c>
      <c r="B46" s="77" t="s">
        <v>15</v>
      </c>
      <c r="C46" s="10">
        <v>170</v>
      </c>
      <c r="D46" s="5">
        <v>209</v>
      </c>
      <c r="E46" s="5">
        <v>-39</v>
      </c>
      <c r="F46" s="10">
        <v>170</v>
      </c>
      <c r="G46" s="5">
        <v>234</v>
      </c>
      <c r="H46" s="5">
        <v>-64</v>
      </c>
      <c r="I46" s="10">
        <v>170</v>
      </c>
      <c r="J46" s="5">
        <v>235</v>
      </c>
      <c r="K46" s="5">
        <v>-65</v>
      </c>
      <c r="L46" s="10">
        <v>169</v>
      </c>
      <c r="M46" s="5">
        <v>233</v>
      </c>
      <c r="N46" s="5">
        <v>-64</v>
      </c>
      <c r="O46" s="10">
        <f t="shared" si="0"/>
        <v>-168</v>
      </c>
      <c r="P46" s="9">
        <f t="shared" si="1"/>
        <v>-0.24742268041237114</v>
      </c>
      <c r="Q46" s="101" t="str">
        <f t="shared" si="2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140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">
      <c r="A47" s="42">
        <v>3015</v>
      </c>
      <c r="B47" s="77" t="s">
        <v>15</v>
      </c>
      <c r="C47" s="10">
        <v>8511</v>
      </c>
      <c r="D47" s="5">
        <v>19994</v>
      </c>
      <c r="E47" s="5">
        <v>-11483</v>
      </c>
      <c r="F47" s="10">
        <v>22795</v>
      </c>
      <c r="G47" s="5">
        <v>20649</v>
      </c>
      <c r="H47" s="5">
        <v>2146</v>
      </c>
      <c r="I47" s="10">
        <v>22795</v>
      </c>
      <c r="J47" s="5">
        <v>19600</v>
      </c>
      <c r="K47" s="5">
        <v>3195</v>
      </c>
      <c r="L47" s="10">
        <v>22795</v>
      </c>
      <c r="M47" s="5">
        <v>18928</v>
      </c>
      <c r="N47" s="5">
        <v>3867</v>
      </c>
      <c r="O47" s="10">
        <f t="shared" si="0"/>
        <v>-6142</v>
      </c>
      <c r="P47" s="9">
        <f t="shared" si="1"/>
        <v>-0.10195206161609455</v>
      </c>
      <c r="Q47" s="101" t="str">
        <f t="shared" si="2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140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">
      <c r="A48" s="42">
        <v>4303</v>
      </c>
      <c r="B48" s="77" t="s">
        <v>15</v>
      </c>
      <c r="C48" s="10">
        <v>4608</v>
      </c>
      <c r="D48" s="5">
        <v>3349</v>
      </c>
      <c r="E48" s="5">
        <v>1259</v>
      </c>
      <c r="F48" s="10">
        <v>4388</v>
      </c>
      <c r="G48" s="5">
        <v>3356</v>
      </c>
      <c r="H48" s="5">
        <v>1032</v>
      </c>
      <c r="I48" s="10">
        <v>4420</v>
      </c>
      <c r="J48" s="5">
        <v>2676</v>
      </c>
      <c r="K48" s="5">
        <v>1744</v>
      </c>
      <c r="L48" s="10">
        <v>3522</v>
      </c>
      <c r="M48" s="5">
        <v>2276</v>
      </c>
      <c r="N48" s="5">
        <v>1246</v>
      </c>
      <c r="O48" s="10">
        <f t="shared" si="0"/>
        <v>4035</v>
      </c>
      <c r="P48" s="9">
        <f t="shared" si="1"/>
        <v>0.43007887444041781</v>
      </c>
      <c r="Q48" s="101" t="str">
        <f t="shared" si="2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140" t="str">
        <f>IF($C$4="High Inventory",IF(AND($O48&gt;=0,$P48&gt;=Summary!$C$107),"X"," "),IF(AND($O48&lt;=0,$P48&lt;=-Summary!$C$107),"X"," "))</f>
        <v>X</v>
      </c>
      <c r="V48" t="str">
        <f t="shared" si="4"/>
        <v xml:space="preserve"> </v>
      </c>
    </row>
    <row r="49" spans="1:22" x14ac:dyDescent="0.2">
      <c r="A49" s="42">
        <v>4438</v>
      </c>
      <c r="B49" s="77" t="s">
        <v>15</v>
      </c>
      <c r="C49" s="10">
        <v>41467</v>
      </c>
      <c r="D49" s="5">
        <v>56123</v>
      </c>
      <c r="E49" s="5">
        <v>-14656</v>
      </c>
      <c r="F49" s="10">
        <v>48967</v>
      </c>
      <c r="G49" s="5">
        <v>57936</v>
      </c>
      <c r="H49" s="5">
        <v>-8969</v>
      </c>
      <c r="I49" s="10">
        <v>58968</v>
      </c>
      <c r="J49" s="5">
        <v>54783</v>
      </c>
      <c r="K49" s="5">
        <v>4185</v>
      </c>
      <c r="L49" s="10">
        <v>46963</v>
      </c>
      <c r="M49" s="5">
        <v>54729</v>
      </c>
      <c r="N49" s="5">
        <v>-7766</v>
      </c>
      <c r="O49" s="10">
        <f t="shared" si="0"/>
        <v>-19440</v>
      </c>
      <c r="P49" s="9">
        <f t="shared" si="1"/>
        <v>-0.11513654696967004</v>
      </c>
      <c r="Q49" s="17" t="s">
        <v>44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 xml:space="preserve"> </v>
      </c>
      <c r="U49" s="140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">
      <c r="A50" s="42">
        <v>4760</v>
      </c>
      <c r="B50" s="77" t="s">
        <v>15</v>
      </c>
      <c r="C50" s="10">
        <v>281270</v>
      </c>
      <c r="D50" s="5">
        <v>256279</v>
      </c>
      <c r="E50" s="5">
        <v>24991</v>
      </c>
      <c r="F50" s="10">
        <v>251298</v>
      </c>
      <c r="G50" s="5">
        <v>248997</v>
      </c>
      <c r="H50" s="5">
        <v>2301</v>
      </c>
      <c r="I50" s="10">
        <v>91298</v>
      </c>
      <c r="J50" s="5">
        <v>90218</v>
      </c>
      <c r="K50" s="5">
        <v>1080</v>
      </c>
      <c r="L50" s="10">
        <v>91298</v>
      </c>
      <c r="M50" s="5">
        <v>89436</v>
      </c>
      <c r="N50" s="5">
        <v>1862</v>
      </c>
      <c r="O50" s="10">
        <f t="shared" si="0"/>
        <v>28372</v>
      </c>
      <c r="P50" s="9">
        <f t="shared" si="1"/>
        <v>4.7644396678393604E-2</v>
      </c>
      <c r="Q50" s="17" t="s">
        <v>44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>X</v>
      </c>
      <c r="U50" s="140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">
      <c r="A51" s="42">
        <v>6084</v>
      </c>
      <c r="B51" s="77" t="s">
        <v>15</v>
      </c>
      <c r="C51" s="10">
        <v>0</v>
      </c>
      <c r="D51" s="5">
        <v>6</v>
      </c>
      <c r="E51" s="5">
        <v>-6</v>
      </c>
      <c r="F51" s="10">
        <v>0</v>
      </c>
      <c r="G51" s="5">
        <v>70</v>
      </c>
      <c r="H51" s="5">
        <v>-70</v>
      </c>
      <c r="I51" s="10">
        <v>0</v>
      </c>
      <c r="J51" s="5">
        <v>94</v>
      </c>
      <c r="K51" s="5">
        <v>-94</v>
      </c>
      <c r="L51" s="10">
        <v>0</v>
      </c>
      <c r="M51" s="5">
        <v>9</v>
      </c>
      <c r="N51" s="5">
        <v>-9</v>
      </c>
      <c r="O51" s="10">
        <f t="shared" si="0"/>
        <v>-170</v>
      </c>
      <c r="P51" s="9">
        <f t="shared" si="1"/>
        <v>-0.99415204678362568</v>
      </c>
      <c r="Q51" s="101" t="str">
        <f t="shared" ref="Q51:Q96" si="5">" "</f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140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">
      <c r="A52" s="42">
        <v>6728</v>
      </c>
      <c r="B52" s="77" t="s">
        <v>15</v>
      </c>
      <c r="C52" s="10">
        <v>18000</v>
      </c>
      <c r="D52" s="5">
        <v>19088</v>
      </c>
      <c r="E52" s="5">
        <v>-1088</v>
      </c>
      <c r="F52" s="10">
        <v>18000</v>
      </c>
      <c r="G52" s="5">
        <v>20509</v>
      </c>
      <c r="H52" s="5">
        <v>-2509</v>
      </c>
      <c r="I52" s="10">
        <v>16000</v>
      </c>
      <c r="J52" s="5">
        <v>15619</v>
      </c>
      <c r="K52" s="5">
        <v>381</v>
      </c>
      <c r="L52" s="10">
        <v>16000</v>
      </c>
      <c r="M52" s="5">
        <v>11787</v>
      </c>
      <c r="N52" s="5">
        <v>4213</v>
      </c>
      <c r="O52" s="10">
        <f t="shared" si="0"/>
        <v>-3216</v>
      </c>
      <c r="P52" s="9">
        <f t="shared" si="1"/>
        <v>-5.8242932430229821E-2</v>
      </c>
      <c r="Q52" s="101" t="str">
        <f t="shared" si="5"/>
        <v xml:space="preserve"> </v>
      </c>
      <c r="R52" s="91" t="str">
        <f>IF($C$4="High Inventory",IF(AND(O52&gt;=Summary!$C$106,P52&gt;=Summary!$C$107),"X"," "),IF(AND(O52&lt;=-Summary!$C$106,P52&lt;=-Summary!$C$107),"X"," "))</f>
        <v xml:space="preserve"> 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 xml:space="preserve"> </v>
      </c>
      <c r="U52" s="140" t="str">
        <f>IF($C$4="High Inventory",IF(AND($O52&gt;=0,$P52&gt;=Summary!$C$107),"X"," "),IF(AND($O52&lt;=0,$P52&lt;=-Summary!$C$107),"X"," "))</f>
        <v xml:space="preserve"> </v>
      </c>
      <c r="V52" t="str">
        <f t="shared" si="4"/>
        <v xml:space="preserve"> </v>
      </c>
    </row>
    <row r="53" spans="1:22" x14ac:dyDescent="0.2">
      <c r="A53" s="42">
        <v>12296</v>
      </c>
      <c r="B53" s="77" t="s">
        <v>15</v>
      </c>
      <c r="C53" s="10">
        <v>26985</v>
      </c>
      <c r="D53" s="5">
        <v>27249</v>
      </c>
      <c r="E53" s="5">
        <v>-264</v>
      </c>
      <c r="F53" s="10">
        <v>26985</v>
      </c>
      <c r="G53" s="5">
        <v>27265</v>
      </c>
      <c r="H53" s="5">
        <v>-280</v>
      </c>
      <c r="I53" s="10">
        <v>26985</v>
      </c>
      <c r="J53" s="5">
        <v>26252</v>
      </c>
      <c r="K53" s="5">
        <v>733</v>
      </c>
      <c r="L53" s="10">
        <v>28985</v>
      </c>
      <c r="M53" s="5">
        <v>23578</v>
      </c>
      <c r="N53" s="5">
        <v>5407</v>
      </c>
      <c r="O53" s="10">
        <f t="shared" si="0"/>
        <v>189</v>
      </c>
      <c r="P53" s="9">
        <f t="shared" si="1"/>
        <v>2.3400646303564573E-3</v>
      </c>
      <c r="Q53" s="101" t="str">
        <f t="shared" si="5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140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x14ac:dyDescent="0.2">
      <c r="A54" s="42">
        <v>21856</v>
      </c>
      <c r="B54" s="77" t="s">
        <v>15</v>
      </c>
      <c r="C54" s="10">
        <v>7740</v>
      </c>
      <c r="D54" s="5">
        <v>5191</v>
      </c>
      <c r="E54" s="5">
        <v>2549</v>
      </c>
      <c r="F54" s="10">
        <v>7740</v>
      </c>
      <c r="G54" s="5">
        <v>6387</v>
      </c>
      <c r="H54" s="5">
        <v>1353</v>
      </c>
      <c r="I54" s="10">
        <v>6590</v>
      </c>
      <c r="J54" s="5">
        <v>6812</v>
      </c>
      <c r="K54" s="5">
        <v>-222</v>
      </c>
      <c r="L54" s="10">
        <v>6590</v>
      </c>
      <c r="M54" s="5">
        <v>5782</v>
      </c>
      <c r="N54" s="5">
        <v>808</v>
      </c>
      <c r="O54" s="10">
        <f t="shared" si="0"/>
        <v>3680</v>
      </c>
      <c r="P54" s="9">
        <f t="shared" si="1"/>
        <v>0.20009787396008918</v>
      </c>
      <c r="Q54" s="101" t="str">
        <f t="shared" si="5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140" t="str">
        <f>IF($C$4="High Inventory",IF(AND($O54&gt;=0,$P54&gt;=Summary!$C$107),"X"," "),IF(AND($O54&lt;=0,$P54&lt;=-Summary!$C$107),"X"," "))</f>
        <v>X</v>
      </c>
      <c r="V54" t="str">
        <f t="shared" si="4"/>
        <v xml:space="preserve"> </v>
      </c>
    </row>
    <row r="55" spans="1:22" hidden="1" x14ac:dyDescent="0.2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>K55+H55+E55</f>
        <v>0</v>
      </c>
      <c r="P55" s="9">
        <f>O55/(J55+G55+D55+1)</f>
        <v>0</v>
      </c>
      <c r="Q55" s="101" t="str">
        <f t="shared" si="5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140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">
      <c r="A56" s="42"/>
      <c r="B56" s="77"/>
      <c r="C56" s="10"/>
      <c r="D56" s="5"/>
      <c r="E56" s="6"/>
      <c r="F56" s="10"/>
      <c r="G56" s="5"/>
      <c r="H56" s="6"/>
      <c r="I56" s="10"/>
      <c r="J56" s="5"/>
      <c r="K56" s="6"/>
      <c r="L56" s="10"/>
      <c r="M56" s="5"/>
      <c r="N56" s="6"/>
      <c r="O56" s="10">
        <f>K56+H56+E56</f>
        <v>0</v>
      </c>
      <c r="P56" s="9">
        <f>O56/(J56+G56+D56+1)</f>
        <v>0</v>
      </c>
      <c r="Q56" s="101" t="str">
        <f t="shared" si="5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140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">
      <c r="A57" s="42"/>
      <c r="B57" s="77"/>
      <c r="C57" s="15">
        <v>36629</v>
      </c>
      <c r="D57" s="5"/>
      <c r="E57" s="5"/>
      <c r="F57" s="15">
        <v>36630</v>
      </c>
      <c r="G57" s="5"/>
      <c r="H57" s="5"/>
      <c r="I57" s="15">
        <v>36631</v>
      </c>
      <c r="J57" s="5"/>
      <c r="K57" s="5"/>
      <c r="L57" s="15">
        <v>36632</v>
      </c>
      <c r="M57" s="5"/>
      <c r="N57" s="5"/>
      <c r="O57" s="10">
        <f>K57+H57+E57</f>
        <v>0</v>
      </c>
      <c r="P57" s="9">
        <f>O57/(J57+G57+D57+1)</f>
        <v>0</v>
      </c>
      <c r="Q57" s="101" t="str">
        <f t="shared" si="5"/>
        <v xml:space="preserve"> </v>
      </c>
      <c r="R57" s="91" t="str">
        <f>IF($C$4="High Inventory",IF(AND(O57&gt;=Summary!$C$106,P57&gt;=Summary!$C$107),"X"," "),IF(AND(O57&lt;=-Summary!$C$106,P57&lt;=-Summary!$C$107),"X"," "))</f>
        <v xml:space="preserve"> </v>
      </c>
      <c r="S57" s="21" t="str">
        <f>IF(AND(L57-I57&gt;=Summary!$C$110,N57-K57&gt;Summary!$C$110,N57&gt;0),"X"," ")</f>
        <v xml:space="preserve"> </v>
      </c>
      <c r="T57" s="17" t="str">
        <f>IF($C$4="High Inventory",IF(AND($O57&gt;=Summary!$C$106,$P57&gt;=0%),"X"," "),IF(AND($O57&lt;=-Summary!$C$106,$P57&lt;=0%),"X"," "))</f>
        <v xml:space="preserve"> </v>
      </c>
      <c r="U57" s="140" t="str">
        <f>IF($C$4="High Inventory",IF(AND($O57&gt;=0,$P57&gt;=Summary!$C$107),"X"," "),IF(AND($O57&lt;=0,$P57&lt;=-Summary!$C$107),"X"," "))</f>
        <v xml:space="preserve"> </v>
      </c>
      <c r="V57" t="str">
        <f t="shared" si="4"/>
        <v xml:space="preserve"> </v>
      </c>
    </row>
    <row r="58" spans="1:22" hidden="1" x14ac:dyDescent="0.2">
      <c r="A58" s="42" t="s">
        <v>6</v>
      </c>
      <c r="B58" s="77" t="s">
        <v>7</v>
      </c>
      <c r="C58" s="10" t="s">
        <v>37</v>
      </c>
      <c r="D58" s="5" t="s">
        <v>40</v>
      </c>
      <c r="E58" s="5" t="s">
        <v>41</v>
      </c>
      <c r="F58" s="10" t="s">
        <v>37</v>
      </c>
      <c r="G58" s="5" t="s">
        <v>40</v>
      </c>
      <c r="H58" s="5" t="s">
        <v>41</v>
      </c>
      <c r="I58" s="10" t="s">
        <v>37</v>
      </c>
      <c r="J58" s="5" t="s">
        <v>40</v>
      </c>
      <c r="K58" s="5" t="s">
        <v>41</v>
      </c>
      <c r="L58" s="10" t="s">
        <v>37</v>
      </c>
      <c r="M58" s="5" t="s">
        <v>40</v>
      </c>
      <c r="N58" s="5" t="s">
        <v>41</v>
      </c>
      <c r="O58" s="10" t="e">
        <f>K58+H58+E58</f>
        <v>#VALUE!</v>
      </c>
      <c r="P58" s="9" t="e">
        <f>O58/(J58+G58+D58+1)</f>
        <v>#VALUE!</v>
      </c>
      <c r="Q58" s="101" t="str">
        <f t="shared" si="5"/>
        <v xml:space="preserve"> </v>
      </c>
      <c r="R58" s="91" t="e">
        <f>IF($C$4="High Inventory",IF(AND(O58&gt;=Summary!$C$106,P58&gt;=Summary!$C$107),"X"," "),IF(AND(O58&lt;=-Summary!$C$106,P58&lt;=-Summary!$C$107),"X"," "))</f>
        <v>#VALUE!</v>
      </c>
      <c r="S58" s="21" t="e">
        <f>IF(AND(L58-I58&gt;=Summary!$C$110,N58-K58&gt;Summary!$C$110,N58&gt;0),"X"," ")</f>
        <v>#VALUE!</v>
      </c>
      <c r="T58" s="17" t="e">
        <f>IF($C$4="High Inventory",IF(AND($O58&gt;=Summary!$C$106,$P58&gt;=0%),"X"," "),IF(AND($O58&lt;=-Summary!$C$106,$P58&lt;=0%),"X"," "))</f>
        <v>#VALUE!</v>
      </c>
      <c r="U58" s="140" t="e">
        <f>IF($C$4="High Inventory",IF(AND($O58&gt;=0,$P58&gt;=Summary!$C$107),"X"," "),IF(AND($O58&lt;=0,$P58&lt;=-Summary!$C$107),"X"," "))</f>
        <v>#VALUE!</v>
      </c>
      <c r="V58" t="e">
        <f t="shared" si="4"/>
        <v>#VALUE!</v>
      </c>
    </row>
    <row r="59" spans="1:22" x14ac:dyDescent="0.2">
      <c r="A59" s="42">
        <v>51</v>
      </c>
      <c r="B59" s="77" t="s">
        <v>17</v>
      </c>
      <c r="C59" s="10">
        <v>14251</v>
      </c>
      <c r="D59" s="5">
        <v>10501</v>
      </c>
      <c r="E59" s="5">
        <v>3750</v>
      </c>
      <c r="F59" s="10">
        <v>14251</v>
      </c>
      <c r="G59" s="5">
        <v>10500</v>
      </c>
      <c r="H59" s="5">
        <v>3751</v>
      </c>
      <c r="I59" s="10">
        <v>14251</v>
      </c>
      <c r="J59" s="5">
        <v>8850</v>
      </c>
      <c r="K59" s="5">
        <v>5401</v>
      </c>
      <c r="L59" s="10">
        <v>14251</v>
      </c>
      <c r="M59" s="5">
        <v>7677</v>
      </c>
      <c r="N59" s="5">
        <v>6574</v>
      </c>
      <c r="O59" s="10">
        <f>K59+H59+E59</f>
        <v>12902</v>
      </c>
      <c r="P59" s="9">
        <f>O59/(J59+G59+D59+1)</f>
        <v>0.43219884764839878</v>
      </c>
      <c r="Q59" s="101" t="str">
        <f t="shared" si="5"/>
        <v xml:space="preserve"> </v>
      </c>
      <c r="R59" s="91" t="str">
        <f>IF($C$4="High Inventory",IF(AND(O59&gt;=Summary!$C$106,P59&gt;=Summary!$C$107),"X"," "),IF(AND(O59&lt;=-Summary!$C$106,P59&lt;=-Summary!$C$107),"X"," "))</f>
        <v>X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>X</v>
      </c>
      <c r="U59" s="140" t="str">
        <f>IF($C$4="High Inventory",IF(AND($O59&gt;=0,$P59&gt;=Summary!$C$107),"X"," "),IF(AND($O59&lt;=0,$P59&lt;=-Summary!$C$107),"X"," "))</f>
        <v>X</v>
      </c>
      <c r="V59" t="str">
        <f t="shared" si="4"/>
        <v xml:space="preserve"> </v>
      </c>
    </row>
    <row r="60" spans="1:22" x14ac:dyDescent="0.2">
      <c r="A60" s="42">
        <v>117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ref="O60:O78" si="6">K60+H60+E60</f>
        <v>0</v>
      </c>
      <c r="P60" s="9">
        <f t="shared" ref="P60:P78" si="7">O60/(J60+G60+D60+1)</f>
        <v>0</v>
      </c>
      <c r="Q60" s="101" t="str">
        <f t="shared" si="5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140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">
      <c r="A61" s="42">
        <v>127</v>
      </c>
      <c r="B61" s="77" t="s">
        <v>17</v>
      </c>
      <c r="C61" s="10">
        <v>0</v>
      </c>
      <c r="D61" s="5">
        <v>6</v>
      </c>
      <c r="E61" s="5">
        <v>-6</v>
      </c>
      <c r="F61" s="10">
        <v>0</v>
      </c>
      <c r="G61" s="5">
        <v>5</v>
      </c>
      <c r="H61" s="5">
        <v>-5</v>
      </c>
      <c r="I61" s="10">
        <v>0</v>
      </c>
      <c r="J61" s="5">
        <v>6</v>
      </c>
      <c r="K61" s="5">
        <v>-6</v>
      </c>
      <c r="L61" s="10">
        <v>0</v>
      </c>
      <c r="M61" s="5">
        <v>6</v>
      </c>
      <c r="N61" s="5">
        <v>-6</v>
      </c>
      <c r="O61" s="10">
        <f t="shared" si="6"/>
        <v>-17</v>
      </c>
      <c r="P61" s="9">
        <f t="shared" si="7"/>
        <v>-0.94444444444444442</v>
      </c>
      <c r="Q61" s="101" t="str">
        <f t="shared" si="5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140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">
      <c r="A62" s="42">
        <v>128</v>
      </c>
      <c r="B62" s="77" t="s">
        <v>17</v>
      </c>
      <c r="C62" s="10">
        <v>0</v>
      </c>
      <c r="D62" s="5">
        <v>0</v>
      </c>
      <c r="E62" s="5">
        <v>0</v>
      </c>
      <c r="F62" s="10">
        <v>0</v>
      </c>
      <c r="G62" s="5">
        <v>0</v>
      </c>
      <c r="H62" s="5">
        <v>0</v>
      </c>
      <c r="I62" s="10">
        <v>0</v>
      </c>
      <c r="J62" s="5">
        <v>0</v>
      </c>
      <c r="K62" s="5">
        <v>0</v>
      </c>
      <c r="L62" s="10">
        <v>0</v>
      </c>
      <c r="M62" s="5">
        <v>0</v>
      </c>
      <c r="N62" s="5">
        <v>0</v>
      </c>
      <c r="O62" s="10">
        <f t="shared" si="6"/>
        <v>0</v>
      </c>
      <c r="P62" s="9">
        <f t="shared" si="7"/>
        <v>0</v>
      </c>
      <c r="Q62" s="101" t="str">
        <f t="shared" si="5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140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">
      <c r="A63" s="42">
        <v>129</v>
      </c>
      <c r="B63" s="77" t="s">
        <v>17</v>
      </c>
      <c r="C63" s="10">
        <v>0</v>
      </c>
      <c r="D63" s="5">
        <v>0</v>
      </c>
      <c r="E63" s="5">
        <v>0</v>
      </c>
      <c r="F63" s="10">
        <v>0</v>
      </c>
      <c r="G63" s="5">
        <v>0</v>
      </c>
      <c r="H63" s="5">
        <v>0</v>
      </c>
      <c r="I63" s="10">
        <v>0</v>
      </c>
      <c r="J63" s="5">
        <v>0</v>
      </c>
      <c r="K63" s="5">
        <v>0</v>
      </c>
      <c r="L63" s="10">
        <v>0</v>
      </c>
      <c r="M63" s="5">
        <v>0</v>
      </c>
      <c r="N63" s="5">
        <v>0</v>
      </c>
      <c r="O63" s="10">
        <f t="shared" si="6"/>
        <v>0</v>
      </c>
      <c r="P63" s="9">
        <f t="shared" si="7"/>
        <v>0</v>
      </c>
      <c r="Q63" s="101" t="str">
        <f t="shared" si="5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140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">
      <c r="A64" s="42">
        <v>132</v>
      </c>
      <c r="B64" s="77" t="s">
        <v>17</v>
      </c>
      <c r="C64" s="10">
        <v>0</v>
      </c>
      <c r="D64" s="5">
        <v>275</v>
      </c>
      <c r="E64" s="5">
        <v>-275</v>
      </c>
      <c r="F64" s="10">
        <v>0</v>
      </c>
      <c r="G64" s="5">
        <v>280</v>
      </c>
      <c r="H64" s="5">
        <v>-280</v>
      </c>
      <c r="I64" s="10">
        <v>0</v>
      </c>
      <c r="J64" s="5">
        <v>88</v>
      </c>
      <c r="K64" s="5">
        <v>-88</v>
      </c>
      <c r="L64" s="10">
        <v>0</v>
      </c>
      <c r="M64" s="5">
        <v>0</v>
      </c>
      <c r="N64" s="5">
        <v>0</v>
      </c>
      <c r="O64" s="10">
        <f t="shared" si="6"/>
        <v>-643</v>
      </c>
      <c r="P64" s="9">
        <f t="shared" si="7"/>
        <v>-0.99844720496894412</v>
      </c>
      <c r="Q64" s="101" t="str">
        <f t="shared" si="5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140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">
      <c r="A65" s="42">
        <v>133</v>
      </c>
      <c r="B65" s="77" t="s">
        <v>17</v>
      </c>
      <c r="C65" s="10">
        <v>0</v>
      </c>
      <c r="D65" s="5">
        <v>0</v>
      </c>
      <c r="E65" s="5">
        <v>0</v>
      </c>
      <c r="F65" s="10">
        <v>0</v>
      </c>
      <c r="G65" s="5">
        <v>0</v>
      </c>
      <c r="H65" s="5">
        <v>0</v>
      </c>
      <c r="I65" s="10">
        <v>0</v>
      </c>
      <c r="J65" s="5">
        <v>0</v>
      </c>
      <c r="K65" s="5">
        <v>0</v>
      </c>
      <c r="L65" s="10">
        <v>0</v>
      </c>
      <c r="M65" s="5">
        <v>0</v>
      </c>
      <c r="N65" s="5">
        <v>0</v>
      </c>
      <c r="O65" s="10">
        <f t="shared" si="6"/>
        <v>0</v>
      </c>
      <c r="P65" s="9">
        <f t="shared" si="7"/>
        <v>0</v>
      </c>
      <c r="Q65" s="101" t="str">
        <f t="shared" si="5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140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">
      <c r="A66" s="42">
        <v>194</v>
      </c>
      <c r="B66" s="77" t="s">
        <v>17</v>
      </c>
      <c r="C66" s="10">
        <v>0</v>
      </c>
      <c r="D66" s="5">
        <v>0</v>
      </c>
      <c r="E66" s="5">
        <v>0</v>
      </c>
      <c r="F66" s="10">
        <v>0</v>
      </c>
      <c r="G66" s="5">
        <v>0</v>
      </c>
      <c r="H66" s="5">
        <v>0</v>
      </c>
      <c r="I66" s="10">
        <v>0</v>
      </c>
      <c r="J66" s="5">
        <v>0</v>
      </c>
      <c r="K66" s="5">
        <v>0</v>
      </c>
      <c r="L66" s="10">
        <v>0</v>
      </c>
      <c r="M66" s="5">
        <v>0</v>
      </c>
      <c r="N66" s="5">
        <v>0</v>
      </c>
      <c r="O66" s="10">
        <f t="shared" si="6"/>
        <v>0</v>
      </c>
      <c r="P66" s="9">
        <f t="shared" si="7"/>
        <v>0</v>
      </c>
      <c r="Q66" s="101" t="str">
        <f t="shared" si="5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140" t="str">
        <f>IF($C$4="High Inventory",IF(AND($O66&gt;=0,$P66&gt;=Summary!$C$107),"X"," "),IF(AND($O66&lt;=0,$P66&lt;=-Summary!$C$107),"X"," "))</f>
        <v xml:space="preserve"> </v>
      </c>
      <c r="V66" t="str">
        <f t="shared" si="4"/>
        <v xml:space="preserve"> </v>
      </c>
    </row>
    <row r="67" spans="1:22" x14ac:dyDescent="0.2">
      <c r="A67" s="42">
        <v>195</v>
      </c>
      <c r="B67" s="77" t="s">
        <v>17</v>
      </c>
      <c r="C67" s="10">
        <v>0</v>
      </c>
      <c r="D67" s="5">
        <v>0</v>
      </c>
      <c r="E67" s="5">
        <v>0</v>
      </c>
      <c r="F67" s="10">
        <v>0</v>
      </c>
      <c r="G67" s="5">
        <v>0</v>
      </c>
      <c r="H67" s="5">
        <v>0</v>
      </c>
      <c r="I67" s="10">
        <v>0</v>
      </c>
      <c r="J67" s="5">
        <v>0</v>
      </c>
      <c r="K67" s="5">
        <v>0</v>
      </c>
      <c r="L67" s="10">
        <v>0</v>
      </c>
      <c r="M67" s="5">
        <v>0</v>
      </c>
      <c r="N67" s="5">
        <v>0</v>
      </c>
      <c r="O67" s="10">
        <f t="shared" si="6"/>
        <v>0</v>
      </c>
      <c r="P67" s="9">
        <f t="shared" si="7"/>
        <v>0</v>
      </c>
      <c r="Q67" s="101" t="str">
        <f t="shared" si="5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140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">
      <c r="A68" s="42">
        <v>196</v>
      </c>
      <c r="B68" s="77" t="s">
        <v>17</v>
      </c>
      <c r="C68" s="10">
        <v>0</v>
      </c>
      <c r="D68" s="5">
        <v>0</v>
      </c>
      <c r="E68" s="5">
        <v>0</v>
      </c>
      <c r="F68" s="10">
        <v>0</v>
      </c>
      <c r="G68" s="5">
        <v>0</v>
      </c>
      <c r="H68" s="5">
        <v>0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6"/>
        <v>0</v>
      </c>
      <c r="P68" s="9">
        <f t="shared" si="7"/>
        <v>0</v>
      </c>
      <c r="Q68" s="101" t="str">
        <f t="shared" si="5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140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">
      <c r="A69" s="42">
        <v>197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0</v>
      </c>
      <c r="N69" s="5">
        <v>0</v>
      </c>
      <c r="O69" s="10">
        <f t="shared" si="6"/>
        <v>0</v>
      </c>
      <c r="P69" s="9">
        <f t="shared" si="7"/>
        <v>0</v>
      </c>
      <c r="Q69" s="101" t="str">
        <f t="shared" si="5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140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">
      <c r="A70" s="42">
        <v>282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">
        <f>O70/(J70+G70+D70+1)</f>
        <v>0</v>
      </c>
      <c r="Q70" s="101" t="str">
        <f t="shared" si="5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140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">
      <c r="A71" s="42">
        <v>289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>K71+H71+E71</f>
        <v>0</v>
      </c>
      <c r="P71" s="9">
        <f>O71/(J71+G71+D71+1)</f>
        <v>0</v>
      </c>
      <c r="Q71" s="101" t="str">
        <f t="shared" si="5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140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">
      <c r="A72" s="42">
        <v>476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>K72+H72+E72</f>
        <v>0</v>
      </c>
      <c r="P72" s="9">
        <f>O72/(J72+G72+D72+1)</f>
        <v>0</v>
      </c>
      <c r="Q72" s="101" t="str">
        <f t="shared" si="5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140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">
      <c r="A73" s="42">
        <v>512</v>
      </c>
      <c r="B73" s="77" t="s">
        <v>17</v>
      </c>
      <c r="C73" s="10">
        <v>800</v>
      </c>
      <c r="D73" s="5">
        <v>685</v>
      </c>
      <c r="E73" s="5">
        <v>115</v>
      </c>
      <c r="F73" s="10">
        <v>800</v>
      </c>
      <c r="G73" s="5">
        <v>662</v>
      </c>
      <c r="H73" s="5">
        <v>138</v>
      </c>
      <c r="I73" s="10">
        <v>800</v>
      </c>
      <c r="J73" s="5">
        <v>423</v>
      </c>
      <c r="K73" s="5">
        <v>377</v>
      </c>
      <c r="L73" s="10">
        <v>800</v>
      </c>
      <c r="M73" s="5">
        <v>598</v>
      </c>
      <c r="N73" s="5">
        <v>202</v>
      </c>
      <c r="O73" s="10">
        <f>K73+H73+E73</f>
        <v>630</v>
      </c>
      <c r="P73" s="9">
        <f>O73/(J73+G73+D73+1)</f>
        <v>0.35573122529644269</v>
      </c>
      <c r="Q73" s="101" t="str">
        <f t="shared" si="5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140" t="str">
        <f>IF($C$4="High Inventory",IF(AND($O73&gt;=0,$P73&gt;=Summary!$C$107),"X"," "),IF(AND($O73&lt;=0,$P73&lt;=-Summary!$C$107),"X"," "))</f>
        <v>X</v>
      </c>
      <c r="V73" t="str">
        <f t="shared" si="4"/>
        <v xml:space="preserve"> </v>
      </c>
    </row>
    <row r="74" spans="1:22" x14ac:dyDescent="0.2">
      <c r="A74" s="42">
        <v>757</v>
      </c>
      <c r="B74" s="77" t="s">
        <v>17</v>
      </c>
      <c r="C74" s="10">
        <v>0</v>
      </c>
      <c r="D74" s="5">
        <v>519</v>
      </c>
      <c r="E74" s="5">
        <v>-519</v>
      </c>
      <c r="F74" s="10">
        <v>0</v>
      </c>
      <c r="G74" s="5">
        <v>510</v>
      </c>
      <c r="H74" s="5">
        <v>-510</v>
      </c>
      <c r="I74" s="10">
        <v>0</v>
      </c>
      <c r="J74" s="5">
        <v>508</v>
      </c>
      <c r="K74" s="5">
        <v>-508</v>
      </c>
      <c r="L74" s="10">
        <v>0</v>
      </c>
      <c r="M74" s="5">
        <v>531</v>
      </c>
      <c r="N74" s="5">
        <v>-531</v>
      </c>
      <c r="O74" s="10">
        <f t="shared" ref="O74:O94" si="8">K74+H74+E74</f>
        <v>-1537</v>
      </c>
      <c r="P74" s="9">
        <f t="shared" ref="P74:P94" si="9">O74/(J74+G74+D74+1)</f>
        <v>-0.9993498049414824</v>
      </c>
      <c r="Q74" s="101" t="str">
        <f t="shared" si="5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140" t="str">
        <f>IF($C$4="High Inventory",IF(AND($O74&gt;=0,$P74&gt;=Summary!$C$107),"X"," "),IF(AND($O74&lt;=0,$P74&lt;=-Summary!$C$107),"X"," "))</f>
        <v xml:space="preserve"> </v>
      </c>
      <c r="V74" t="str">
        <f t="shared" ref="V74:V96" si="10">IF(S74 = "X",L74-I74," ")</f>
        <v xml:space="preserve"> </v>
      </c>
    </row>
    <row r="75" spans="1:22" x14ac:dyDescent="0.2">
      <c r="A75" s="42">
        <v>761</v>
      </c>
      <c r="B75" s="77" t="s">
        <v>17</v>
      </c>
      <c r="C75" s="10">
        <v>0</v>
      </c>
      <c r="D75" s="5">
        <v>8</v>
      </c>
      <c r="E75" s="5">
        <v>-8</v>
      </c>
      <c r="F75" s="10">
        <v>0</v>
      </c>
      <c r="G75" s="5">
        <v>8</v>
      </c>
      <c r="H75" s="5">
        <v>-8</v>
      </c>
      <c r="I75" s="10">
        <v>0</v>
      </c>
      <c r="J75" s="5">
        <v>8</v>
      </c>
      <c r="K75" s="5">
        <v>-8</v>
      </c>
      <c r="L75" s="10">
        <v>0</v>
      </c>
      <c r="M75" s="5">
        <v>8</v>
      </c>
      <c r="N75" s="5">
        <v>-8</v>
      </c>
      <c r="O75" s="10">
        <f>K75+H75+E75</f>
        <v>-24</v>
      </c>
      <c r="P75" s="9">
        <f>O75/(J75+G75+D75+1)</f>
        <v>-0.96</v>
      </c>
      <c r="Q75" s="101" t="str">
        <f t="shared" si="5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140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">
      <c r="A76" s="42">
        <v>764</v>
      </c>
      <c r="B76" s="77" t="s">
        <v>17</v>
      </c>
      <c r="C76" s="10">
        <v>196</v>
      </c>
      <c r="D76" s="5">
        <v>185</v>
      </c>
      <c r="E76" s="5">
        <v>11</v>
      </c>
      <c r="F76" s="10">
        <v>196</v>
      </c>
      <c r="G76" s="5">
        <v>207</v>
      </c>
      <c r="H76" s="5">
        <v>-11</v>
      </c>
      <c r="I76" s="10">
        <v>196</v>
      </c>
      <c r="J76" s="5">
        <v>232</v>
      </c>
      <c r="K76" s="5">
        <v>-36</v>
      </c>
      <c r="L76" s="10">
        <v>196</v>
      </c>
      <c r="M76" s="5">
        <v>232</v>
      </c>
      <c r="N76" s="5">
        <v>-36</v>
      </c>
      <c r="O76" s="10">
        <f t="shared" si="8"/>
        <v>-36</v>
      </c>
      <c r="P76" s="9">
        <f t="shared" si="9"/>
        <v>-5.7599999999999998E-2</v>
      </c>
      <c r="Q76" s="101" t="str">
        <f t="shared" si="5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140" t="str">
        <f>IF($C$4="High Inventory",IF(AND($O76&gt;=0,$P76&gt;=Summary!$C$107),"X"," "),IF(AND($O76&lt;=0,$P76&lt;=-Summary!$C$107),"X"," "))</f>
        <v xml:space="preserve"> </v>
      </c>
      <c r="V76" t="str">
        <f t="shared" si="10"/>
        <v xml:space="preserve"> </v>
      </c>
    </row>
    <row r="77" spans="1:22" x14ac:dyDescent="0.2">
      <c r="A77" s="42">
        <v>765</v>
      </c>
      <c r="B77" s="77" t="s">
        <v>17</v>
      </c>
      <c r="C77" s="10">
        <v>7271</v>
      </c>
      <c r="D77" s="5">
        <v>7484</v>
      </c>
      <c r="E77" s="5">
        <v>-213</v>
      </c>
      <c r="F77" s="10">
        <v>7271</v>
      </c>
      <c r="G77" s="5">
        <v>7395</v>
      </c>
      <c r="H77" s="5">
        <v>-124</v>
      </c>
      <c r="I77" s="10">
        <v>7271</v>
      </c>
      <c r="J77" s="5">
        <v>7571</v>
      </c>
      <c r="K77" s="5">
        <v>-300</v>
      </c>
      <c r="L77" s="10">
        <v>7271</v>
      </c>
      <c r="M77" s="5">
        <v>7462</v>
      </c>
      <c r="N77" s="5">
        <v>-191</v>
      </c>
      <c r="O77" s="10">
        <f t="shared" si="8"/>
        <v>-637</v>
      </c>
      <c r="P77" s="9">
        <f t="shared" si="9"/>
        <v>-2.8372900984365953E-2</v>
      </c>
      <c r="Q77" s="101" t="str">
        <f t="shared" si="5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 xml:space="preserve"> </v>
      </c>
      <c r="U77" s="140" t="str">
        <f>IF($C$4="High Inventory",IF(AND($O77&gt;=0,$P77&gt;=Summary!$C$107),"X"," "),IF(AND($O77&lt;=0,$P77&lt;=-Summary!$C$107),"X"," "))</f>
        <v xml:space="preserve"> </v>
      </c>
      <c r="V77" t="str">
        <f t="shared" si="10"/>
        <v xml:space="preserve"> </v>
      </c>
    </row>
    <row r="78" spans="1:22" x14ac:dyDescent="0.2">
      <c r="A78" s="42">
        <v>779</v>
      </c>
      <c r="B78" s="77" t="s">
        <v>17</v>
      </c>
      <c r="C78" s="10">
        <v>800</v>
      </c>
      <c r="D78" s="5">
        <v>1202</v>
      </c>
      <c r="E78" s="5">
        <v>-402</v>
      </c>
      <c r="F78" s="10">
        <v>800</v>
      </c>
      <c r="G78" s="5">
        <v>1319</v>
      </c>
      <c r="H78" s="5">
        <v>-519</v>
      </c>
      <c r="I78" s="10">
        <v>800</v>
      </c>
      <c r="J78" s="5">
        <v>1267</v>
      </c>
      <c r="K78" s="5">
        <v>-467</v>
      </c>
      <c r="L78" s="10">
        <v>800</v>
      </c>
      <c r="M78" s="5">
        <v>273</v>
      </c>
      <c r="N78" s="5">
        <v>527</v>
      </c>
      <c r="O78" s="10">
        <f t="shared" si="6"/>
        <v>-1388</v>
      </c>
      <c r="P78" s="9">
        <f t="shared" si="7"/>
        <v>-0.36632356822380574</v>
      </c>
      <c r="Q78" s="101" t="str">
        <f t="shared" si="5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140" t="str">
        <f>IF($C$4="High Inventory",IF(AND($O78&gt;=0,$P78&gt;=Summary!$C$107),"X"," "),IF(AND($O78&lt;=0,$P78&lt;=-Summary!$C$107),"X"," "))</f>
        <v xml:space="preserve"> </v>
      </c>
      <c r="V78" t="str">
        <f t="shared" si="10"/>
        <v xml:space="preserve"> </v>
      </c>
    </row>
    <row r="79" spans="1:22" x14ac:dyDescent="0.2">
      <c r="A79" s="42">
        <v>899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>K79+H79+E79</f>
        <v>0</v>
      </c>
      <c r="P79" s="9">
        <f>O79/(J79+G79+D79+1)</f>
        <v>0</v>
      </c>
      <c r="Q79" s="101" t="str">
        <f t="shared" si="5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140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">
      <c r="A80" s="42">
        <v>928</v>
      </c>
      <c r="B80" s="77" t="s">
        <v>17</v>
      </c>
      <c r="C80" s="10">
        <v>190</v>
      </c>
      <c r="D80" s="5">
        <v>198</v>
      </c>
      <c r="E80" s="5">
        <v>-8</v>
      </c>
      <c r="F80" s="10">
        <v>190</v>
      </c>
      <c r="G80" s="5">
        <v>200</v>
      </c>
      <c r="H80" s="5">
        <v>-10</v>
      </c>
      <c r="I80" s="10">
        <v>190</v>
      </c>
      <c r="J80" s="5">
        <v>202</v>
      </c>
      <c r="K80" s="5">
        <v>-12</v>
      </c>
      <c r="L80" s="10">
        <v>190</v>
      </c>
      <c r="M80" s="5">
        <v>207</v>
      </c>
      <c r="N80" s="5">
        <v>-17</v>
      </c>
      <c r="O80" s="10">
        <f>K80+H80+E80</f>
        <v>-30</v>
      </c>
      <c r="P80" s="9">
        <f>O80/(J80+G80+D80+1)</f>
        <v>-4.9916805324459232E-2</v>
      </c>
      <c r="Q80" s="101" t="str">
        <f t="shared" si="5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140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">
      <c r="A81" s="42">
        <v>997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8"/>
        <v>0</v>
      </c>
      <c r="P81" s="9">
        <f t="shared" si="9"/>
        <v>0</v>
      </c>
      <c r="Q81" s="101" t="str">
        <f t="shared" si="5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140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">
      <c r="A82" s="42">
        <v>5342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800</v>
      </c>
      <c r="J82" s="5">
        <v>0</v>
      </c>
      <c r="K82" s="5">
        <v>800</v>
      </c>
      <c r="L82" s="10">
        <v>0</v>
      </c>
      <c r="M82" s="5">
        <v>0</v>
      </c>
      <c r="N82" s="5">
        <v>0</v>
      </c>
      <c r="O82" s="10">
        <f>K82+H82+E82</f>
        <v>800</v>
      </c>
      <c r="P82" s="9">
        <f>O82/(J82+G82+D82+1)</f>
        <v>800</v>
      </c>
      <c r="Q82" s="101" t="str">
        <f t="shared" si="5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140" t="str">
        <f>IF($C$4="High Inventory",IF(AND($O82&gt;=0,$P82&gt;=Summary!$C$107),"X"," "),IF(AND($O82&lt;=0,$P82&lt;=-Summary!$C$107),"X"," "))</f>
        <v>X</v>
      </c>
      <c r="V82" t="str">
        <f t="shared" si="10"/>
        <v xml:space="preserve"> </v>
      </c>
    </row>
    <row r="83" spans="1:22" x14ac:dyDescent="0.2">
      <c r="A83" s="42">
        <v>5379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>K83+H83+E83</f>
        <v>0</v>
      </c>
      <c r="P83" s="9">
        <f>O83/(J83+G83+D83+1)</f>
        <v>0</v>
      </c>
      <c r="Q83" s="101" t="str">
        <f t="shared" si="5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140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">
      <c r="A84" s="42">
        <v>7088</v>
      </c>
      <c r="B84" s="77" t="s">
        <v>17</v>
      </c>
      <c r="C84" s="10">
        <v>0</v>
      </c>
      <c r="D84" s="5">
        <v>38</v>
      </c>
      <c r="E84" s="5">
        <v>-38</v>
      </c>
      <c r="F84" s="10">
        <v>0</v>
      </c>
      <c r="G84" s="5">
        <v>43</v>
      </c>
      <c r="H84" s="5">
        <v>-43</v>
      </c>
      <c r="I84" s="10">
        <v>0</v>
      </c>
      <c r="J84" s="5">
        <v>38</v>
      </c>
      <c r="K84" s="5">
        <v>-38</v>
      </c>
      <c r="L84" s="10">
        <v>0</v>
      </c>
      <c r="M84" s="5">
        <v>43</v>
      </c>
      <c r="N84" s="5">
        <v>-43</v>
      </c>
      <c r="O84" s="10">
        <f t="shared" si="8"/>
        <v>-119</v>
      </c>
      <c r="P84" s="9">
        <f t="shared" si="9"/>
        <v>-0.9916666666666667</v>
      </c>
      <c r="Q84" s="101" t="str">
        <f t="shared" si="5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140" t="str">
        <f>IF($C$4="High Inventory",IF(AND($O84&gt;=0,$P84&gt;=Summary!$C$107),"X"," "),IF(AND($O84&lt;=0,$P84&lt;=-Summary!$C$107),"X"," "))</f>
        <v xml:space="preserve"> </v>
      </c>
      <c r="V84" t="str">
        <f t="shared" si="10"/>
        <v xml:space="preserve"> </v>
      </c>
    </row>
    <row r="85" spans="1:22" x14ac:dyDescent="0.2">
      <c r="A85" s="42">
        <v>7602</v>
      </c>
      <c r="B85" s="77" t="s">
        <v>17</v>
      </c>
      <c r="C85" s="10">
        <v>10246</v>
      </c>
      <c r="D85" s="5">
        <v>38120</v>
      </c>
      <c r="E85" s="5">
        <v>-27874</v>
      </c>
      <c r="F85" s="10">
        <v>19508</v>
      </c>
      <c r="G85" s="5">
        <v>37409</v>
      </c>
      <c r="H85" s="5">
        <v>-17901</v>
      </c>
      <c r="I85" s="10">
        <v>30570</v>
      </c>
      <c r="J85" s="5">
        <v>35292</v>
      </c>
      <c r="K85" s="5">
        <v>-4722</v>
      </c>
      <c r="L85" s="10">
        <v>32535</v>
      </c>
      <c r="M85" s="5">
        <v>35429</v>
      </c>
      <c r="N85" s="5">
        <v>-2894</v>
      </c>
      <c r="O85" s="10">
        <f t="shared" si="8"/>
        <v>-50497</v>
      </c>
      <c r="P85" s="9">
        <f t="shared" si="9"/>
        <v>-0.45565862373896882</v>
      </c>
      <c r="Q85" s="101" t="str">
        <f t="shared" si="5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140" t="str">
        <f>IF($C$4="High Inventory",IF(AND($O85&gt;=0,$P85&gt;=Summary!$C$107),"X"," "),IF(AND($O85&lt;=0,$P85&lt;=-Summary!$C$107),"X"," "))</f>
        <v xml:space="preserve"> </v>
      </c>
      <c r="V85" t="str">
        <f t="shared" si="10"/>
        <v xml:space="preserve"> </v>
      </c>
    </row>
    <row r="86" spans="1:22" x14ac:dyDescent="0.2">
      <c r="A86" s="42">
        <v>7604</v>
      </c>
      <c r="B86" s="77" t="s">
        <v>17</v>
      </c>
      <c r="C86" s="10">
        <v>69540</v>
      </c>
      <c r="D86" s="5">
        <v>67896</v>
      </c>
      <c r="E86" s="5">
        <v>1644</v>
      </c>
      <c r="F86" s="10">
        <v>69534</v>
      </c>
      <c r="G86" s="5">
        <v>73024</v>
      </c>
      <c r="H86" s="5">
        <v>-3490</v>
      </c>
      <c r="I86" s="10">
        <v>65986</v>
      </c>
      <c r="J86" s="5">
        <v>79311</v>
      </c>
      <c r="K86" s="5">
        <v>-13325</v>
      </c>
      <c r="L86" s="10">
        <v>83302</v>
      </c>
      <c r="M86" s="5">
        <v>70269</v>
      </c>
      <c r="N86" s="5">
        <v>13033</v>
      </c>
      <c r="O86" s="10">
        <f t="shared" si="8"/>
        <v>-15171</v>
      </c>
      <c r="P86" s="9">
        <f t="shared" si="9"/>
        <v>-6.8886447019506705E-2</v>
      </c>
      <c r="Q86" s="101" t="str">
        <f t="shared" si="5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>X</v>
      </c>
      <c r="T86" s="17" t="str">
        <f>IF($C$4="High Inventory",IF(AND($O86&gt;=Summary!$C$106,$P86&gt;=0%),"X"," "),IF(AND($O86&lt;=-Summary!$C$106,$P86&lt;=0%),"X"," "))</f>
        <v xml:space="preserve"> </v>
      </c>
      <c r="U86" s="140" t="str">
        <f>IF($C$4="High Inventory",IF(AND($O86&gt;=0,$P86&gt;=Summary!$C$107),"X"," "),IF(AND($O86&lt;=0,$P86&lt;=-Summary!$C$107),"X"," "))</f>
        <v xml:space="preserve"> </v>
      </c>
      <c r="V86">
        <f t="shared" si="10"/>
        <v>17316</v>
      </c>
    </row>
    <row r="87" spans="1:22" x14ac:dyDescent="0.2">
      <c r="A87" s="42">
        <v>8576</v>
      </c>
      <c r="B87" s="77" t="s">
        <v>17</v>
      </c>
      <c r="C87" s="10">
        <v>0</v>
      </c>
      <c r="D87" s="5">
        <v>0</v>
      </c>
      <c r="E87" s="5">
        <v>0</v>
      </c>
      <c r="F87" s="10">
        <v>0</v>
      </c>
      <c r="G87" s="5">
        <v>0</v>
      </c>
      <c r="H87" s="5">
        <v>0</v>
      </c>
      <c r="I87" s="10">
        <v>0</v>
      </c>
      <c r="J87" s="5">
        <v>0</v>
      </c>
      <c r="K87" s="5">
        <v>0</v>
      </c>
      <c r="L87" s="10">
        <v>0</v>
      </c>
      <c r="M87" s="5">
        <v>0</v>
      </c>
      <c r="N87" s="5">
        <v>0</v>
      </c>
      <c r="O87" s="10">
        <f t="shared" si="8"/>
        <v>0</v>
      </c>
      <c r="P87" s="9">
        <f t="shared" si="9"/>
        <v>0</v>
      </c>
      <c r="Q87" s="101" t="str">
        <f t="shared" si="5"/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21" t="str">
        <f>IF(AND(L87-I87&gt;=Summary!$C$110,N87-K87&gt;Summary!$C$110,N87&gt;0),"X"," ")</f>
        <v xml:space="preserve"> </v>
      </c>
      <c r="T87" s="17" t="str">
        <f>IF($C$4="High Inventory",IF(AND($O87&gt;=Summary!$C$106,$P87&gt;=0%),"X"," "),IF(AND($O87&lt;=-Summary!$C$106,$P87&lt;=0%),"X"," "))</f>
        <v xml:space="preserve"> </v>
      </c>
      <c r="U87" s="140" t="str">
        <f>IF($C$4="High Inventory",IF(AND($O87&gt;=0,$P87&gt;=Summary!$C$107),"X"," "),IF(AND($O87&lt;=0,$P87&lt;=-Summary!$C$107),"X"," "))</f>
        <v xml:space="preserve"> </v>
      </c>
      <c r="V87" t="str">
        <f t="shared" si="10"/>
        <v xml:space="preserve"> </v>
      </c>
    </row>
    <row r="88" spans="1:22" x14ac:dyDescent="0.2">
      <c r="A88" s="42">
        <v>8577</v>
      </c>
      <c r="B88" s="77" t="s">
        <v>17</v>
      </c>
      <c r="C88" s="10">
        <v>0</v>
      </c>
      <c r="D88" s="5">
        <v>0</v>
      </c>
      <c r="E88" s="5">
        <v>0</v>
      </c>
      <c r="F88" s="10">
        <v>0</v>
      </c>
      <c r="G88" s="5">
        <v>0</v>
      </c>
      <c r="H88" s="5">
        <v>0</v>
      </c>
      <c r="I88" s="10">
        <v>0</v>
      </c>
      <c r="J88" s="5">
        <v>0</v>
      </c>
      <c r="K88" s="5">
        <v>0</v>
      </c>
      <c r="L88" s="10">
        <v>0</v>
      </c>
      <c r="M88" s="5">
        <v>0</v>
      </c>
      <c r="N88" s="5">
        <v>0</v>
      </c>
      <c r="O88" s="10">
        <f t="shared" si="8"/>
        <v>0</v>
      </c>
      <c r="P88" s="9">
        <f t="shared" si="9"/>
        <v>0</v>
      </c>
      <c r="Q88" s="101" t="str">
        <f t="shared" si="5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21" t="str">
        <f>IF(AND(L88-I88&gt;=Summary!$C$110,N88-K88&gt;Summary!$C$110,N88&gt;0),"X"," ")</f>
        <v xml:space="preserve"> </v>
      </c>
      <c r="T88" s="17" t="str">
        <f>IF($C$4="High Inventory",IF(AND($O88&gt;=Summary!$C$106,$P88&gt;=0%),"X"," "),IF(AND($O88&lt;=-Summary!$C$106,$P88&lt;=0%),"X"," "))</f>
        <v xml:space="preserve"> </v>
      </c>
      <c r="U88" s="140" t="str">
        <f>IF($C$4="High Inventory",IF(AND($O88&gt;=0,$P88&gt;=Summary!$C$107),"X"," "),IF(AND($O88&lt;=0,$P88&lt;=-Summary!$C$107),"X"," "))</f>
        <v xml:space="preserve"> </v>
      </c>
      <c r="V88" t="str">
        <f t="shared" si="10"/>
        <v xml:space="preserve"> </v>
      </c>
    </row>
    <row r="89" spans="1:22" x14ac:dyDescent="0.2">
      <c r="A89" s="42">
        <v>8578</v>
      </c>
      <c r="B89" s="77" t="s">
        <v>17</v>
      </c>
      <c r="C89" s="10">
        <v>0</v>
      </c>
      <c r="D89" s="5">
        <v>0</v>
      </c>
      <c r="E89" s="5">
        <v>0</v>
      </c>
      <c r="F89" s="10">
        <v>0</v>
      </c>
      <c r="G89" s="5">
        <v>0</v>
      </c>
      <c r="H89" s="5">
        <v>0</v>
      </c>
      <c r="I89" s="10">
        <v>0</v>
      </c>
      <c r="J89" s="5">
        <v>0</v>
      </c>
      <c r="K89" s="5">
        <v>0</v>
      </c>
      <c r="L89" s="10">
        <v>0</v>
      </c>
      <c r="M89" s="5">
        <v>0</v>
      </c>
      <c r="N89" s="5">
        <v>0</v>
      </c>
      <c r="O89" s="10">
        <f t="shared" si="8"/>
        <v>0</v>
      </c>
      <c r="P89" s="9">
        <f t="shared" si="9"/>
        <v>0</v>
      </c>
      <c r="Q89" s="101" t="str">
        <f t="shared" si="5"/>
        <v xml:space="preserve"> </v>
      </c>
      <c r="R89" s="91" t="str">
        <f>IF($C$4="High Inventory",IF(AND(O89&gt;=Summary!$C$106,P89&gt;=Summary!$C$107),"X"," "),IF(AND(O89&lt;=-Summary!$C$106,P89&lt;=-Summary!$C$107),"X"," "))</f>
        <v xml:space="preserve"> </v>
      </c>
      <c r="S89" s="21" t="str">
        <f>IF(AND(L89-I89&gt;=Summary!$C$110,N89-K89&gt;Summary!$C$110,N89&gt;0),"X"," ")</f>
        <v xml:space="preserve"> </v>
      </c>
      <c r="T89" s="17" t="str">
        <f>IF($C$4="High Inventory",IF(AND($O89&gt;=Summary!$C$106,$P89&gt;=0%),"X"," "),IF(AND($O89&lt;=-Summary!$C$106,$P89&lt;=0%),"X"," "))</f>
        <v xml:space="preserve"> </v>
      </c>
      <c r="U89" s="140" t="str">
        <f>IF($C$4="High Inventory",IF(AND($O89&gt;=0,$P89&gt;=Summary!$C$107),"X"," "),IF(AND($O89&lt;=0,$P89&lt;=-Summary!$C$107),"X"," "))</f>
        <v xml:space="preserve"> </v>
      </c>
      <c r="V89" t="str">
        <f t="shared" si="10"/>
        <v xml:space="preserve"> </v>
      </c>
    </row>
    <row r="90" spans="1:22" x14ac:dyDescent="0.2">
      <c r="A90" s="42">
        <v>8579</v>
      </c>
      <c r="B90" s="77" t="s">
        <v>17</v>
      </c>
      <c r="C90" s="10">
        <v>0</v>
      </c>
      <c r="D90" s="5">
        <v>0</v>
      </c>
      <c r="E90" s="5">
        <v>0</v>
      </c>
      <c r="F90" s="10">
        <v>0</v>
      </c>
      <c r="G90" s="5">
        <v>0</v>
      </c>
      <c r="H90" s="5">
        <v>0</v>
      </c>
      <c r="I90" s="10">
        <v>0</v>
      </c>
      <c r="J90" s="5">
        <v>0</v>
      </c>
      <c r="K90" s="5">
        <v>0</v>
      </c>
      <c r="L90" s="10">
        <v>0</v>
      </c>
      <c r="M90" s="5">
        <v>0</v>
      </c>
      <c r="N90" s="5">
        <v>0</v>
      </c>
      <c r="O90" s="10">
        <f t="shared" si="8"/>
        <v>0</v>
      </c>
      <c r="P90" s="9">
        <f t="shared" si="9"/>
        <v>0</v>
      </c>
      <c r="Q90" s="101" t="str">
        <f t="shared" si="5"/>
        <v xml:space="preserve"> </v>
      </c>
      <c r="R90" s="91" t="str">
        <f>IF($C$4="High Inventory",IF(AND(O90&gt;=Summary!$C$106,P90&gt;=Summary!$C$107),"X"," "),IF(AND(O90&lt;=-Summary!$C$106,P90&lt;=-Summary!$C$107),"X"," "))</f>
        <v xml:space="preserve"> </v>
      </c>
      <c r="S90" s="21" t="str">
        <f>IF(AND(L90-I90&gt;=Summary!$C$110,N90-K90&gt;Summary!$C$110,N90&gt;0),"X"," ")</f>
        <v xml:space="preserve"> </v>
      </c>
      <c r="T90" s="17" t="str">
        <f>IF($C$4="High Inventory",IF(AND($O90&gt;=Summary!$C$106,$P90&gt;=0%),"X"," "),IF(AND($O90&lt;=-Summary!$C$106,$P90&lt;=0%),"X"," "))</f>
        <v xml:space="preserve"> </v>
      </c>
      <c r="U90" s="140" t="str">
        <f>IF($C$4="High Inventory",IF(AND($O90&gt;=0,$P90&gt;=Summary!$C$107),"X"," "),IF(AND($O90&lt;=0,$P90&lt;=-Summary!$C$107),"X"," "))</f>
        <v xml:space="preserve"> </v>
      </c>
      <c r="V90" t="str">
        <f t="shared" si="10"/>
        <v xml:space="preserve"> </v>
      </c>
    </row>
    <row r="91" spans="1:22" x14ac:dyDescent="0.2">
      <c r="A91" s="42">
        <v>8580</v>
      </c>
      <c r="B91" s="77" t="s">
        <v>17</v>
      </c>
      <c r="C91" s="10">
        <v>0</v>
      </c>
      <c r="D91" s="5">
        <v>0</v>
      </c>
      <c r="E91" s="5">
        <v>0</v>
      </c>
      <c r="F91" s="10">
        <v>0</v>
      </c>
      <c r="G91" s="5">
        <v>0</v>
      </c>
      <c r="H91" s="5">
        <v>0</v>
      </c>
      <c r="I91" s="10">
        <v>0</v>
      </c>
      <c r="J91" s="5">
        <v>0</v>
      </c>
      <c r="K91" s="5">
        <v>0</v>
      </c>
      <c r="L91" s="10">
        <v>0</v>
      </c>
      <c r="M91" s="5">
        <v>0</v>
      </c>
      <c r="N91" s="5">
        <v>0</v>
      </c>
      <c r="O91" s="10">
        <f t="shared" si="8"/>
        <v>0</v>
      </c>
      <c r="P91" s="9">
        <f t="shared" si="9"/>
        <v>0</v>
      </c>
      <c r="Q91" s="101" t="str">
        <f t="shared" si="5"/>
        <v xml:space="preserve"> </v>
      </c>
      <c r="R91" s="91" t="str">
        <f>IF($C$4="High Inventory",IF(AND(O91&gt;=Summary!$C$106,P91&gt;=Summary!$C$107),"X"," "),IF(AND(O91&lt;=-Summary!$C$106,P91&lt;=-Summary!$C$107),"X"," "))</f>
        <v xml:space="preserve"> </v>
      </c>
      <c r="S91" s="21" t="str">
        <f>IF(AND(L91-I91&gt;=Summary!$C$110,N91-K91&gt;Summary!$C$110,N91&gt;0),"X"," ")</f>
        <v xml:space="preserve"> </v>
      </c>
      <c r="T91" s="17" t="str">
        <f>IF($C$4="High Inventory",IF(AND($O91&gt;=Summary!$C$106,$P91&gt;=0%),"X"," "),IF(AND($O91&lt;=-Summary!$C$106,$P91&lt;=0%),"X"," "))</f>
        <v xml:space="preserve"> </v>
      </c>
      <c r="U91" s="140" t="str">
        <f>IF($C$4="High Inventory",IF(AND($O91&gt;=0,$P91&gt;=Summary!$C$107),"X"," "),IF(AND($O91&lt;=0,$P91&lt;=-Summary!$C$107),"X"," "))</f>
        <v xml:space="preserve"> </v>
      </c>
      <c r="V91" t="str">
        <f t="shared" si="10"/>
        <v xml:space="preserve"> </v>
      </c>
    </row>
    <row r="92" spans="1:22" x14ac:dyDescent="0.2">
      <c r="A92" s="42">
        <v>13636</v>
      </c>
      <c r="B92" s="77" t="s">
        <v>17</v>
      </c>
      <c r="C92" s="10">
        <v>0</v>
      </c>
      <c r="D92" s="5">
        <v>119</v>
      </c>
      <c r="E92" s="5">
        <v>-119</v>
      </c>
      <c r="F92" s="10">
        <v>0</v>
      </c>
      <c r="G92" s="5">
        <v>49</v>
      </c>
      <c r="H92" s="5">
        <v>-49</v>
      </c>
      <c r="I92" s="10">
        <v>0</v>
      </c>
      <c r="J92" s="5">
        <v>25</v>
      </c>
      <c r="K92" s="5">
        <v>-25</v>
      </c>
      <c r="L92" s="10">
        <v>0</v>
      </c>
      <c r="M92" s="5">
        <v>33</v>
      </c>
      <c r="N92" s="5">
        <v>-33</v>
      </c>
      <c r="O92" s="10">
        <f>K92+H92+E92</f>
        <v>-193</v>
      </c>
      <c r="P92" s="9">
        <f>O92/(J92+G92+D92+1)</f>
        <v>-0.99484536082474229</v>
      </c>
      <c r="Q92" s="101" t="str">
        <f t="shared" si="5"/>
        <v xml:space="preserve"> </v>
      </c>
      <c r="R92" s="91" t="str">
        <f>IF($C$4="High Inventory",IF(AND(O92&gt;=Summary!$C$106,P92&gt;=Summary!$C$107),"X"," "),IF(AND(O92&lt;=-Summary!$C$106,P92&lt;=-Summary!$C$107),"X"," "))</f>
        <v xml:space="preserve"> </v>
      </c>
      <c r="S92" s="21" t="str">
        <f>IF(AND(L92-I92&gt;=Summary!$C$110,N92-K92&gt;Summary!$C$110,N92&gt;0),"X"," ")</f>
        <v xml:space="preserve"> </v>
      </c>
      <c r="T92" s="17" t="str">
        <f>IF($C$4="High Inventory",IF(AND($O92&gt;=Summary!$C$106,$P92&gt;=0%),"X"," "),IF(AND($O92&lt;=-Summary!$C$106,$P92&lt;=0%),"X"," "))</f>
        <v xml:space="preserve"> </v>
      </c>
      <c r="U92" s="140" t="str">
        <f>IF($C$4="High Inventory",IF(AND($O92&gt;=0,$P92&gt;=Summary!$C$107),"X"," "),IF(AND($O92&lt;=0,$P92&lt;=-Summary!$C$107),"X"," "))</f>
        <v xml:space="preserve"> </v>
      </c>
      <c r="V92" t="str">
        <f t="shared" si="10"/>
        <v xml:space="preserve"> </v>
      </c>
    </row>
    <row r="93" spans="1:22" x14ac:dyDescent="0.2">
      <c r="A93" s="42">
        <v>18287</v>
      </c>
      <c r="B93" s="77" t="s">
        <v>17</v>
      </c>
      <c r="C93" s="10">
        <v>0</v>
      </c>
      <c r="D93" s="5">
        <v>0</v>
      </c>
      <c r="E93" s="5">
        <v>0</v>
      </c>
      <c r="F93" s="10">
        <v>0</v>
      </c>
      <c r="G93" s="5">
        <v>0</v>
      </c>
      <c r="H93" s="5">
        <v>0</v>
      </c>
      <c r="I93" s="10">
        <v>0</v>
      </c>
      <c r="J93" s="5">
        <v>0</v>
      </c>
      <c r="K93" s="5">
        <v>0</v>
      </c>
      <c r="L93" s="10">
        <v>0</v>
      </c>
      <c r="M93" s="5">
        <v>0</v>
      </c>
      <c r="N93" s="5">
        <v>0</v>
      </c>
      <c r="O93" s="10">
        <f t="shared" si="8"/>
        <v>0</v>
      </c>
      <c r="P93" s="9">
        <f t="shared" si="9"/>
        <v>0</v>
      </c>
      <c r="Q93" s="101" t="str">
        <f t="shared" si="5"/>
        <v xml:space="preserve"> </v>
      </c>
      <c r="R93" s="91" t="str">
        <f>IF($C$4="High Inventory",IF(AND(O93&gt;=Summary!$C$106,P93&gt;=Summary!$C$107),"X"," "),IF(AND(O93&lt;=-Summary!$C$106,P93&lt;=-Summary!$C$107),"X"," "))</f>
        <v xml:space="preserve"> </v>
      </c>
      <c r="S93" s="21" t="str">
        <f>IF(AND(L93-I93&gt;=Summary!$C$110,N93-K93&gt;Summary!$C$110,N93&gt;0),"X"," ")</f>
        <v xml:space="preserve"> </v>
      </c>
      <c r="T93" s="17" t="str">
        <f>IF($C$4="High Inventory",IF(AND($O93&gt;=Summary!$C$106,$P93&gt;=0%),"X"," "),IF(AND($O93&lt;=-Summary!$C$106,$P93&lt;=0%),"X"," "))</f>
        <v xml:space="preserve"> </v>
      </c>
      <c r="U93" s="140" t="str">
        <f>IF($C$4="High Inventory",IF(AND($O93&gt;=0,$P93&gt;=Summary!$C$107),"X"," "),IF(AND($O93&lt;=0,$P93&lt;=-Summary!$C$107),"X"," "))</f>
        <v xml:space="preserve"> </v>
      </c>
      <c r="V93" t="str">
        <f t="shared" si="10"/>
        <v xml:space="preserve"> </v>
      </c>
    </row>
    <row r="94" spans="1:22" x14ac:dyDescent="0.2">
      <c r="A94" s="42">
        <v>20566</v>
      </c>
      <c r="B94" s="77" t="s">
        <v>17</v>
      </c>
      <c r="C94" s="10">
        <v>0</v>
      </c>
      <c r="D94" s="5">
        <v>0</v>
      </c>
      <c r="E94" s="5">
        <v>0</v>
      </c>
      <c r="F94" s="10">
        <v>0</v>
      </c>
      <c r="G94" s="5">
        <v>0</v>
      </c>
      <c r="H94" s="5">
        <v>0</v>
      </c>
      <c r="I94" s="10">
        <v>0</v>
      </c>
      <c r="J94" s="5">
        <v>0</v>
      </c>
      <c r="K94" s="5">
        <v>0</v>
      </c>
      <c r="L94" s="10">
        <v>0</v>
      </c>
      <c r="M94" s="5">
        <v>0</v>
      </c>
      <c r="N94" s="5">
        <v>0</v>
      </c>
      <c r="O94" s="10">
        <f t="shared" si="8"/>
        <v>0</v>
      </c>
      <c r="P94" s="9">
        <f t="shared" si="9"/>
        <v>0</v>
      </c>
      <c r="Q94" s="101" t="str">
        <f t="shared" si="5"/>
        <v xml:space="preserve"> </v>
      </c>
      <c r="R94" s="91" t="str">
        <f>IF($C$4="High Inventory",IF(AND(O94&gt;=Summary!$C$106,P94&gt;=Summary!$C$107),"X"," "),IF(AND(O94&lt;=-Summary!$C$106,P94&lt;=-Summary!$C$107),"X"," "))</f>
        <v xml:space="preserve"> </v>
      </c>
      <c r="S94" s="21" t="str">
        <f>IF(AND(L94-I94&gt;=Summary!$C$110,N94-K94&gt;Summary!$C$110,N94&gt;0),"X"," ")</f>
        <v xml:space="preserve"> </v>
      </c>
      <c r="T94" s="17" t="str">
        <f>IF($C$4="High Inventory",IF(AND($O94&gt;=Summary!$C$106,$P94&gt;=0%),"X"," "),IF(AND($O94&lt;=-Summary!$C$106,$P94&lt;=0%),"X"," "))</f>
        <v xml:space="preserve"> </v>
      </c>
      <c r="U94" s="140" t="str">
        <f>IF($C$4="High Inventory",IF(AND($O94&gt;=0,$P94&gt;=Summary!$C$107),"X"," "),IF(AND($O94&lt;=0,$P94&lt;=-Summary!$C$107),"X"," "))</f>
        <v xml:space="preserve"> </v>
      </c>
      <c r="V94" t="str">
        <f t="shared" si="10"/>
        <v xml:space="preserve"> </v>
      </c>
    </row>
    <row r="95" spans="1:22" x14ac:dyDescent="0.2">
      <c r="A95" s="42">
        <v>25541</v>
      </c>
      <c r="B95" s="77" t="s">
        <v>17</v>
      </c>
      <c r="C95" s="10">
        <v>0</v>
      </c>
      <c r="D95" s="5">
        <v>43</v>
      </c>
      <c r="E95" s="5">
        <v>-43</v>
      </c>
      <c r="F95" s="10">
        <v>0</v>
      </c>
      <c r="G95" s="5">
        <v>45</v>
      </c>
      <c r="H95" s="5">
        <v>-45</v>
      </c>
      <c r="I95" s="10">
        <v>0</v>
      </c>
      <c r="J95" s="5">
        <v>9</v>
      </c>
      <c r="K95" s="5">
        <v>-9</v>
      </c>
      <c r="L95" s="10">
        <v>0</v>
      </c>
      <c r="M95" s="5">
        <v>9</v>
      </c>
      <c r="N95" s="5">
        <v>-9</v>
      </c>
      <c r="O95" s="10">
        <f>K95+H95+E95</f>
        <v>-97</v>
      </c>
      <c r="P95" s="9">
        <f>O95/(J95+G95+D95+1)</f>
        <v>-0.98979591836734693</v>
      </c>
      <c r="Q95" s="101" t="str">
        <f t="shared" si="5"/>
        <v xml:space="preserve"> </v>
      </c>
      <c r="R95" s="91" t="str">
        <f>IF($C$4="High Inventory",IF(AND(O95&gt;=Summary!$C$106,P95&gt;=Summary!$C$107),"X"," "),IF(AND(O95&lt;=-Summary!$C$106,P95&lt;=-Summary!$C$107),"X"," "))</f>
        <v xml:space="preserve"> </v>
      </c>
      <c r="S95" s="21" t="str">
        <f>IF(AND(L95-I95&gt;=Summary!$C$110,N95-K95&gt;Summary!$C$110,N95&gt;0),"X"," ")</f>
        <v xml:space="preserve"> </v>
      </c>
      <c r="T95" s="17" t="str">
        <f>IF($C$4="High Inventory",IF(AND($O95&gt;=Summary!$C$106,$P95&gt;=0%),"X"," "),IF(AND($O95&lt;=-Summary!$C$106,$P95&lt;=0%),"X"," "))</f>
        <v xml:space="preserve"> </v>
      </c>
      <c r="U95" s="140" t="str">
        <f>IF($C$4="High Inventory",IF(AND($O95&gt;=0,$P95&gt;=Summary!$C$107),"X"," "),IF(AND($O95&lt;=0,$P95&lt;=-Summary!$C$107),"X"," "))</f>
        <v xml:space="preserve"> </v>
      </c>
      <c r="V95" t="str">
        <f t="shared" si="10"/>
        <v xml:space="preserve"> </v>
      </c>
    </row>
    <row r="96" spans="1:22" ht="13.5" thickBot="1" x14ac:dyDescent="0.25">
      <c r="A96" s="42">
        <v>28369</v>
      </c>
      <c r="B96" s="77" t="s">
        <v>17</v>
      </c>
      <c r="C96" s="10">
        <v>0</v>
      </c>
      <c r="D96" s="5">
        <v>54</v>
      </c>
      <c r="E96" s="5">
        <v>-54</v>
      </c>
      <c r="F96" s="10">
        <v>0</v>
      </c>
      <c r="G96" s="5">
        <v>54</v>
      </c>
      <c r="H96" s="5">
        <v>-54</v>
      </c>
      <c r="I96" s="10">
        <v>0</v>
      </c>
      <c r="J96" s="5">
        <v>54</v>
      </c>
      <c r="K96" s="5">
        <v>-54</v>
      </c>
      <c r="L96" s="10">
        <v>0</v>
      </c>
      <c r="M96" s="5">
        <v>54</v>
      </c>
      <c r="N96" s="5">
        <v>-54</v>
      </c>
      <c r="O96" s="10">
        <f>K96+H96+E96</f>
        <v>-162</v>
      </c>
      <c r="P96" s="9">
        <f>O96/(J96+G96+D96+1)</f>
        <v>-0.99386503067484666</v>
      </c>
      <c r="Q96" s="120" t="str">
        <f t="shared" si="5"/>
        <v xml:space="preserve"> </v>
      </c>
      <c r="R96" s="121" t="str">
        <f>IF($C$4="High Inventory",IF(AND(O96&gt;=Summary!$C$106,P96&gt;=Summary!$C$107),"X"," "),IF(AND(O96&lt;=-Summary!$C$106,P96&lt;=-Summary!$C$107),"X"," "))</f>
        <v xml:space="preserve"> </v>
      </c>
      <c r="S96" s="23" t="str">
        <f>IF(AND(L96-I96&gt;=Summary!$C$110,N96-K96&gt;Summary!$C$110,N96&gt;0),"X"," ")</f>
        <v xml:space="preserve"> </v>
      </c>
      <c r="T96" s="17" t="str">
        <f>IF($C$4="High Inventory",IF(AND($O96&gt;=Summary!$C$106,$P96&gt;=0%),"X"," "),IF(AND($O96&lt;=-Summary!$C$106,$P96&lt;=0%),"X"," "))</f>
        <v xml:space="preserve"> </v>
      </c>
      <c r="U96" s="140" t="str">
        <f>IF($C$4="High Inventory",IF(AND($O96&gt;=0,$P96&gt;=Summary!$C$107),"X"," "),IF(AND($O96&lt;=0,$P96&lt;=-Summary!$C$107),"X"," "))</f>
        <v xml:space="preserve"> </v>
      </c>
      <c r="V96" t="str">
        <f t="shared" si="10"/>
        <v xml:space="preserve"> </v>
      </c>
    </row>
    <row r="97" spans="1:22" s="3" customFormat="1" x14ac:dyDescent="0.2">
      <c r="A97" s="2" t="s">
        <v>18</v>
      </c>
      <c r="B97" s="2"/>
      <c r="E97" s="3">
        <f>SUM(E10:E96)</f>
        <v>92297</v>
      </c>
      <c r="H97" s="3">
        <f>SUM(H10:H96)</f>
        <v>-25740</v>
      </c>
      <c r="K97" s="3">
        <f>SUM(K10:K96)</f>
        <v>11692</v>
      </c>
      <c r="M97" s="3">
        <f>SUM(M10:M96)</f>
        <v>1480444</v>
      </c>
      <c r="N97" s="3">
        <f>SUM(N10:N96)</f>
        <v>21721</v>
      </c>
      <c r="O97"/>
      <c r="P97"/>
      <c r="Q97" s="2">
        <f>COUNTIF(Q10:Q96,"X")</f>
        <v>5</v>
      </c>
      <c r="R97" s="2">
        <f>COUNTIF(R10:R96,"X")</f>
        <v>7</v>
      </c>
      <c r="S97" s="2">
        <f>COUNTIF(S10:S96,"X")</f>
        <v>4</v>
      </c>
      <c r="T97" s="2">
        <f>COUNTIF(T10:T96,"X")</f>
        <v>10</v>
      </c>
      <c r="U97" s="2">
        <f>COUNTIF(U10:U96,"X")</f>
        <v>17</v>
      </c>
      <c r="V97">
        <f>SUM(V$59:V$89)+SUM(V$31:V$53)+SUM(V$10:V$26)</f>
        <v>52673</v>
      </c>
    </row>
    <row r="98" spans="1:22" x14ac:dyDescent="0.2">
      <c r="M98" s="115" t="s">
        <v>57</v>
      </c>
      <c r="N98" s="116">
        <f>N97/M97</f>
        <v>1.4671949766421425E-2</v>
      </c>
      <c r="R98" s="2"/>
    </row>
    <row r="99" spans="1:22" x14ac:dyDescent="0.2">
      <c r="R99" s="2"/>
    </row>
  </sheetData>
  <mergeCells count="1">
    <mergeCell ref="R6:S6"/>
  </mergeCells>
  <pageMargins left="0.25" right="0.25" top="0.62" bottom="0.9" header="0.46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8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5546875" defaultRowHeight="12.75" x14ac:dyDescent="0.2"/>
  <cols>
    <col min="1" max="1" width="9.42578125" style="43" customWidth="1"/>
    <col min="2" max="2" width="10" style="43" customWidth="1"/>
    <col min="3" max="16" width="10" customWidth="1"/>
    <col min="17" max="17" width="10" style="2" customWidth="1"/>
    <col min="18" max="19" width="10" customWidth="1"/>
    <col min="20" max="22" width="10" hidden="1" customWidth="1"/>
    <col min="23" max="23" width="10" customWidth="1"/>
    <col min="24" max="252" width="9.140625" customWidth="1"/>
  </cols>
  <sheetData>
    <row r="1" spans="1:22" ht="18" x14ac:dyDescent="0.25">
      <c r="A1" s="80" t="s">
        <v>45</v>
      </c>
    </row>
    <row r="2" spans="1:22" ht="21" customHeight="1" x14ac:dyDescent="0.2">
      <c r="A2" s="113" t="s">
        <v>24</v>
      </c>
    </row>
    <row r="3" spans="1:22" ht="15.75" x14ac:dyDescent="0.25">
      <c r="A3" s="81" t="s">
        <v>25</v>
      </c>
      <c r="C3" s="20">
        <f>L8</f>
        <v>36642</v>
      </c>
      <c r="D3" s="19"/>
    </row>
    <row r="4" spans="1:22" ht="15.75" x14ac:dyDescent="0.25">
      <c r="A4" s="81" t="s">
        <v>26</v>
      </c>
      <c r="C4" s="4" t="s">
        <v>27</v>
      </c>
      <c r="E4" s="4" t="s">
        <v>58</v>
      </c>
    </row>
    <row r="5" spans="1:22" ht="16.5" thickBot="1" x14ac:dyDescent="0.3">
      <c r="A5" s="81" t="s">
        <v>28</v>
      </c>
      <c r="C5" s="4" t="s">
        <v>42</v>
      </c>
    </row>
    <row r="6" spans="1:22" ht="21.75" customHeight="1" thickBot="1" x14ac:dyDescent="0.25">
      <c r="R6" s="219" t="s">
        <v>35</v>
      </c>
      <c r="S6" s="220"/>
    </row>
    <row r="7" spans="1:22" s="3" customFormat="1" ht="54" customHeight="1" thickBot="1" x14ac:dyDescent="0.25">
      <c r="A7" s="11" t="s">
        <v>21</v>
      </c>
      <c r="B7" s="12" t="s">
        <v>22</v>
      </c>
      <c r="C7" s="11" t="s">
        <v>30</v>
      </c>
      <c r="D7" s="13" t="s">
        <v>31</v>
      </c>
      <c r="E7" s="12" t="s">
        <v>32</v>
      </c>
      <c r="F7" s="11" t="s">
        <v>30</v>
      </c>
      <c r="G7" s="13" t="s">
        <v>31</v>
      </c>
      <c r="H7" s="12" t="s">
        <v>32</v>
      </c>
      <c r="I7" s="11" t="s">
        <v>30</v>
      </c>
      <c r="J7" s="13" t="s">
        <v>31</v>
      </c>
      <c r="K7" s="12" t="s">
        <v>32</v>
      </c>
      <c r="L7" s="11" t="s">
        <v>30</v>
      </c>
      <c r="M7" s="13" t="s">
        <v>31</v>
      </c>
      <c r="N7" s="12" t="s">
        <v>32</v>
      </c>
      <c r="O7" s="11" t="s">
        <v>33</v>
      </c>
      <c r="P7" s="12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5" customHeight="1" thickBot="1" x14ac:dyDescent="0.25">
      <c r="A8" s="78"/>
      <c r="B8" s="79"/>
      <c r="C8" s="73">
        <v>36639</v>
      </c>
      <c r="D8" s="74"/>
      <c r="E8" s="75" t="str">
        <f>TEXT(WEEKDAY(C8),"dddd")</f>
        <v>Sunday</v>
      </c>
      <c r="F8" s="73">
        <v>36640</v>
      </c>
      <c r="G8" s="74"/>
      <c r="H8" s="75" t="str">
        <f>TEXT(WEEKDAY(F8),"dddd")</f>
        <v>Monday</v>
      </c>
      <c r="I8" s="73">
        <v>36641</v>
      </c>
      <c r="J8" s="74"/>
      <c r="K8" s="75" t="str">
        <f>TEXT(WEEKDAY(I8),"dddd")</f>
        <v>Tuesday</v>
      </c>
      <c r="L8" s="73">
        <v>36642</v>
      </c>
      <c r="M8" s="74"/>
      <c r="N8" s="75" t="str">
        <f>TEXT(WEEKDAY(L8),"dddd")</f>
        <v>Wednesday</v>
      </c>
      <c r="O8" s="71"/>
      <c r="P8" s="95"/>
      <c r="Q8" s="143"/>
      <c r="R8" s="129"/>
      <c r="S8" s="156">
        <f>Summary!$C$110</f>
        <v>5000</v>
      </c>
      <c r="T8" s="144"/>
      <c r="U8" s="130"/>
    </row>
    <row r="9" spans="1:22" ht="51" hidden="1" x14ac:dyDescent="0.2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4" si="0">K9+H9+E9</f>
        <v>#VALUE!</v>
      </c>
      <c r="P9" s="94"/>
      <c r="Q9" s="142"/>
      <c r="R9" s="87"/>
      <c r="S9" s="88"/>
    </row>
    <row r="10" spans="1:22" x14ac:dyDescent="0.2">
      <c r="A10" s="42">
        <v>1117</v>
      </c>
      <c r="B10" s="77" t="s">
        <v>8</v>
      </c>
      <c r="C10" s="10">
        <v>310</v>
      </c>
      <c r="D10" s="5">
        <v>272</v>
      </c>
      <c r="E10" s="5">
        <v>38</v>
      </c>
      <c r="F10" s="10">
        <v>310</v>
      </c>
      <c r="G10" s="5">
        <v>267</v>
      </c>
      <c r="H10" s="5">
        <v>43</v>
      </c>
      <c r="I10" s="10">
        <v>310</v>
      </c>
      <c r="J10" s="5">
        <v>255</v>
      </c>
      <c r="K10" s="5">
        <v>55</v>
      </c>
      <c r="L10" s="10">
        <v>310</v>
      </c>
      <c r="M10" s="5">
        <v>223</v>
      </c>
      <c r="N10" s="5">
        <v>87</v>
      </c>
      <c r="O10" s="10">
        <f t="shared" si="0"/>
        <v>136</v>
      </c>
      <c r="P10" s="97">
        <f t="shared" ref="P10:P54" si="1">O10/(J10+G10+D10+1)</f>
        <v>0.1710691823899371</v>
      </c>
      <c r="Q10" s="101" t="str">
        <f t="shared" ref="Q10:Q37" si="2">" "</f>
        <v xml:space="preserve"> </v>
      </c>
      <c r="R10" s="91" t="str">
        <f>IF($C$4="High Inventory",IF(AND(O10&gt;=Summary!$C$106,P10&gt;=Summary!$C$107),"X"," "),IF(AND(O10&lt;=-Summary!$C$106,P10&lt;=-Summary!$C$107),"X"," "))</f>
        <v xml:space="preserve"> </v>
      </c>
      <c r="S10" s="21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>X</v>
      </c>
      <c r="V10" t="str">
        <f t="shared" ref="V10:V41" si="3">IF(S10 = "X",L10-I10," ")</f>
        <v xml:space="preserve"> </v>
      </c>
    </row>
    <row r="11" spans="1:22" x14ac:dyDescent="0.2">
      <c r="A11" s="42">
        <v>1126</v>
      </c>
      <c r="B11" s="77" t="s">
        <v>8</v>
      </c>
      <c r="C11" s="10">
        <v>0</v>
      </c>
      <c r="D11" s="5">
        <v>56</v>
      </c>
      <c r="E11" s="5">
        <v>-56</v>
      </c>
      <c r="F11" s="10">
        <v>0</v>
      </c>
      <c r="G11" s="5">
        <v>54</v>
      </c>
      <c r="H11" s="5">
        <v>-54</v>
      </c>
      <c r="I11" s="10">
        <v>0</v>
      </c>
      <c r="J11" s="5">
        <v>54</v>
      </c>
      <c r="K11" s="5">
        <v>-54</v>
      </c>
      <c r="L11" s="10">
        <v>0</v>
      </c>
      <c r="M11" s="5">
        <v>48</v>
      </c>
      <c r="N11" s="5">
        <v>-48</v>
      </c>
      <c r="O11" s="10">
        <f t="shared" si="0"/>
        <v>-164</v>
      </c>
      <c r="P11" s="97">
        <f t="shared" si="1"/>
        <v>-0.9939393939393939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">
      <c r="A12" s="42">
        <v>1157</v>
      </c>
      <c r="B12" s="77" t="s">
        <v>8</v>
      </c>
      <c r="C12" s="10">
        <v>100</v>
      </c>
      <c r="D12" s="5">
        <v>116</v>
      </c>
      <c r="E12" s="5">
        <v>-16</v>
      </c>
      <c r="F12" s="10">
        <v>100</v>
      </c>
      <c r="G12" s="5">
        <v>114</v>
      </c>
      <c r="H12" s="5">
        <v>-14</v>
      </c>
      <c r="I12" s="10">
        <v>100</v>
      </c>
      <c r="J12" s="5">
        <v>103</v>
      </c>
      <c r="K12" s="5">
        <v>-3</v>
      </c>
      <c r="L12" s="10">
        <v>100</v>
      </c>
      <c r="M12" s="5">
        <v>92</v>
      </c>
      <c r="N12" s="5">
        <v>8</v>
      </c>
      <c r="O12" s="10">
        <f t="shared" si="0"/>
        <v>-33</v>
      </c>
      <c r="P12" s="97">
        <f t="shared" si="1"/>
        <v>-9.880239520958084E-2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">
      <c r="A13" s="42">
        <v>1780</v>
      </c>
      <c r="B13" s="77" t="s">
        <v>8</v>
      </c>
      <c r="C13" s="10">
        <v>910</v>
      </c>
      <c r="D13" s="5">
        <v>1831</v>
      </c>
      <c r="E13" s="5">
        <v>-921</v>
      </c>
      <c r="F13" s="10">
        <v>910</v>
      </c>
      <c r="G13" s="5">
        <v>1779</v>
      </c>
      <c r="H13" s="5">
        <v>-869</v>
      </c>
      <c r="I13" s="10">
        <v>910</v>
      </c>
      <c r="J13" s="5">
        <v>1612</v>
      </c>
      <c r="K13" s="5">
        <v>-702</v>
      </c>
      <c r="L13" s="10">
        <v>910</v>
      </c>
      <c r="M13" s="5">
        <v>1423</v>
      </c>
      <c r="N13" s="5">
        <v>-513</v>
      </c>
      <c r="O13" s="10">
        <f t="shared" si="0"/>
        <v>-2492</v>
      </c>
      <c r="P13" s="97">
        <f t="shared" si="1"/>
        <v>-0.47712042887229561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">
      <c r="A14" s="42">
        <v>2280</v>
      </c>
      <c r="B14" s="77" t="s">
        <v>8</v>
      </c>
      <c r="C14" s="10">
        <v>260</v>
      </c>
      <c r="D14" s="5">
        <v>539</v>
      </c>
      <c r="E14" s="5">
        <v>-279</v>
      </c>
      <c r="F14" s="10">
        <v>260</v>
      </c>
      <c r="G14" s="5">
        <v>540</v>
      </c>
      <c r="H14" s="5">
        <v>-280</v>
      </c>
      <c r="I14" s="10">
        <v>260</v>
      </c>
      <c r="J14" s="5">
        <v>526</v>
      </c>
      <c r="K14" s="5">
        <v>-266</v>
      </c>
      <c r="L14" s="10">
        <v>260</v>
      </c>
      <c r="M14" s="5">
        <v>468</v>
      </c>
      <c r="N14" s="5">
        <v>-208</v>
      </c>
      <c r="O14" s="10">
        <f t="shared" si="0"/>
        <v>-825</v>
      </c>
      <c r="P14" s="97">
        <f t="shared" si="1"/>
        <v>-0.51369863013698636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 xml:space="preserve"> </v>
      </c>
      <c r="V14" t="str">
        <f t="shared" si="3"/>
        <v xml:space="preserve"> </v>
      </c>
    </row>
    <row r="15" spans="1:22" x14ac:dyDescent="0.2">
      <c r="A15" s="42">
        <v>2584</v>
      </c>
      <c r="B15" s="77" t="s">
        <v>8</v>
      </c>
      <c r="C15" s="10">
        <v>2700</v>
      </c>
      <c r="D15" s="5">
        <v>3980</v>
      </c>
      <c r="E15" s="5">
        <v>-1280</v>
      </c>
      <c r="F15" s="10">
        <v>2700</v>
      </c>
      <c r="G15" s="5">
        <v>3939</v>
      </c>
      <c r="H15" s="5">
        <v>-1239</v>
      </c>
      <c r="I15" s="10">
        <v>2700</v>
      </c>
      <c r="J15" s="5">
        <v>3831</v>
      </c>
      <c r="K15" s="5">
        <v>-1131</v>
      </c>
      <c r="L15" s="10">
        <v>5794</v>
      </c>
      <c r="M15" s="5">
        <v>3402</v>
      </c>
      <c r="N15" s="5">
        <v>2392</v>
      </c>
      <c r="O15" s="10">
        <f t="shared" si="0"/>
        <v>-3650</v>
      </c>
      <c r="P15" s="97">
        <f t="shared" si="1"/>
        <v>-0.31061186282018549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 xml:space="preserve"> </v>
      </c>
      <c r="V15" t="str">
        <f t="shared" si="3"/>
        <v xml:space="preserve"> </v>
      </c>
    </row>
    <row r="16" spans="1:22" x14ac:dyDescent="0.2">
      <c r="A16" s="42">
        <v>2771</v>
      </c>
      <c r="B16" s="77" t="s">
        <v>8</v>
      </c>
      <c r="C16" s="10">
        <v>5600</v>
      </c>
      <c r="D16" s="5">
        <v>7271</v>
      </c>
      <c r="E16" s="5">
        <v>-1671</v>
      </c>
      <c r="F16" s="10">
        <v>5600</v>
      </c>
      <c r="G16" s="5">
        <v>7235</v>
      </c>
      <c r="H16" s="5">
        <v>-1635</v>
      </c>
      <c r="I16" s="10">
        <v>5600</v>
      </c>
      <c r="J16" s="5">
        <v>6988</v>
      </c>
      <c r="K16" s="5">
        <v>-1388</v>
      </c>
      <c r="L16" s="10">
        <v>5600</v>
      </c>
      <c r="M16" s="5">
        <v>6173</v>
      </c>
      <c r="N16" s="5">
        <v>-573</v>
      </c>
      <c r="O16" s="10">
        <f t="shared" si="0"/>
        <v>-4694</v>
      </c>
      <c r="P16" s="97">
        <f t="shared" si="1"/>
        <v>-0.218376366596883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 xml:space="preserve"> 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t="str">
        <f t="shared" si="3"/>
        <v xml:space="preserve"> </v>
      </c>
    </row>
    <row r="17" spans="1:22" x14ac:dyDescent="0.2">
      <c r="A17" s="42">
        <v>2832</v>
      </c>
      <c r="B17" s="77" t="s">
        <v>8</v>
      </c>
      <c r="C17" s="10">
        <v>1033</v>
      </c>
      <c r="D17" s="5">
        <v>1065</v>
      </c>
      <c r="E17" s="5">
        <v>-32</v>
      </c>
      <c r="F17" s="10">
        <v>1033</v>
      </c>
      <c r="G17" s="5">
        <v>1043</v>
      </c>
      <c r="H17" s="5">
        <v>-10</v>
      </c>
      <c r="I17" s="10">
        <v>1033</v>
      </c>
      <c r="J17" s="5">
        <v>990</v>
      </c>
      <c r="K17" s="5">
        <v>43</v>
      </c>
      <c r="L17" s="10">
        <v>833</v>
      </c>
      <c r="M17" s="5">
        <v>876</v>
      </c>
      <c r="N17" s="5">
        <v>-43</v>
      </c>
      <c r="O17" s="10">
        <f t="shared" si="0"/>
        <v>1</v>
      </c>
      <c r="P17" s="97">
        <f t="shared" si="1"/>
        <v>3.2268473701193933E-4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">
      <c r="A18" s="42">
        <v>2892</v>
      </c>
      <c r="B18" s="77" t="s">
        <v>8</v>
      </c>
      <c r="C18" s="10">
        <v>5307</v>
      </c>
      <c r="D18" s="5">
        <v>4757</v>
      </c>
      <c r="E18" s="5">
        <v>550</v>
      </c>
      <c r="F18" s="10">
        <v>5307</v>
      </c>
      <c r="G18" s="5">
        <v>4741</v>
      </c>
      <c r="H18" s="5">
        <v>566</v>
      </c>
      <c r="I18" s="10">
        <v>5307</v>
      </c>
      <c r="J18" s="5">
        <v>4607</v>
      </c>
      <c r="K18" s="5">
        <v>700</v>
      </c>
      <c r="L18" s="10">
        <v>5307</v>
      </c>
      <c r="M18" s="5">
        <v>4081</v>
      </c>
      <c r="N18" s="5">
        <v>1226</v>
      </c>
      <c r="O18" s="10">
        <f t="shared" si="0"/>
        <v>1816</v>
      </c>
      <c r="P18" s="97">
        <f t="shared" si="1"/>
        <v>0.12873954345668509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>X</v>
      </c>
      <c r="V18" t="str">
        <f t="shared" si="3"/>
        <v xml:space="preserve"> </v>
      </c>
    </row>
    <row r="19" spans="1:22" x14ac:dyDescent="0.2">
      <c r="A19" s="42">
        <v>2939</v>
      </c>
      <c r="B19" s="77" t="s">
        <v>8</v>
      </c>
      <c r="C19" s="10">
        <v>0</v>
      </c>
      <c r="D19" s="5">
        <v>2036</v>
      </c>
      <c r="E19" s="5">
        <v>-2036</v>
      </c>
      <c r="F19" s="10">
        <v>0</v>
      </c>
      <c r="G19" s="5">
        <v>2022</v>
      </c>
      <c r="H19" s="5">
        <v>-2022</v>
      </c>
      <c r="I19" s="10">
        <v>0</v>
      </c>
      <c r="J19" s="5">
        <v>1940</v>
      </c>
      <c r="K19" s="5">
        <v>-1940</v>
      </c>
      <c r="L19" s="10">
        <v>0</v>
      </c>
      <c r="M19" s="5">
        <v>1726</v>
      </c>
      <c r="N19" s="5">
        <v>-1726</v>
      </c>
      <c r="O19" s="10">
        <f t="shared" si="0"/>
        <v>-5998</v>
      </c>
      <c r="P19" s="97">
        <f t="shared" si="1"/>
        <v>-0.9998333055509252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">
      <c r="A20" s="42">
        <v>3152</v>
      </c>
      <c r="B20" s="77" t="s">
        <v>8</v>
      </c>
      <c r="C20" s="10">
        <v>8985</v>
      </c>
      <c r="D20" s="5">
        <v>9918</v>
      </c>
      <c r="E20" s="5">
        <v>-933</v>
      </c>
      <c r="F20" s="10">
        <v>8985</v>
      </c>
      <c r="G20" s="5">
        <v>9601</v>
      </c>
      <c r="H20" s="5">
        <v>-616</v>
      </c>
      <c r="I20" s="10">
        <v>5985</v>
      </c>
      <c r="J20" s="5">
        <v>9084</v>
      </c>
      <c r="K20" s="5">
        <v>-3099</v>
      </c>
      <c r="L20" s="10">
        <v>13148</v>
      </c>
      <c r="M20" s="5">
        <v>7968</v>
      </c>
      <c r="N20" s="5">
        <v>5180</v>
      </c>
      <c r="O20" s="10">
        <f t="shared" si="0"/>
        <v>-4648</v>
      </c>
      <c r="P20" s="97">
        <f t="shared" si="1"/>
        <v>-0.16249475597818486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>X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>
        <f t="shared" si="3"/>
        <v>7163</v>
      </c>
    </row>
    <row r="21" spans="1:22" x14ac:dyDescent="0.2">
      <c r="A21" s="42">
        <v>4303</v>
      </c>
      <c r="B21" s="77" t="s">
        <v>8</v>
      </c>
      <c r="C21" s="10">
        <v>2224</v>
      </c>
      <c r="D21" s="5">
        <v>2645</v>
      </c>
      <c r="E21" s="5">
        <v>-421</v>
      </c>
      <c r="F21" s="10">
        <v>3761</v>
      </c>
      <c r="G21" s="5">
        <v>2620</v>
      </c>
      <c r="H21" s="5">
        <v>1141</v>
      </c>
      <c r="I21" s="10">
        <v>1668</v>
      </c>
      <c r="J21" s="5">
        <v>2470</v>
      </c>
      <c r="K21" s="5">
        <v>-802</v>
      </c>
      <c r="L21" s="10">
        <v>2245</v>
      </c>
      <c r="M21" s="5">
        <v>2193</v>
      </c>
      <c r="N21" s="5">
        <v>52</v>
      </c>
      <c r="O21" s="10">
        <f t="shared" si="0"/>
        <v>-82</v>
      </c>
      <c r="P21" s="97">
        <f t="shared" si="1"/>
        <v>-1.0599793174767322E-2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 xml:space="preserve"> </v>
      </c>
      <c r="V21" t="str">
        <f t="shared" si="3"/>
        <v xml:space="preserve"> </v>
      </c>
    </row>
    <row r="22" spans="1:22" x14ac:dyDescent="0.2">
      <c r="A22" s="42">
        <v>6500</v>
      </c>
      <c r="B22" s="77" t="s">
        <v>8</v>
      </c>
      <c r="C22" s="10">
        <v>723347</v>
      </c>
      <c r="D22" s="5">
        <v>728480</v>
      </c>
      <c r="E22" s="5">
        <v>-5133</v>
      </c>
      <c r="F22" s="10">
        <v>689336</v>
      </c>
      <c r="G22" s="5">
        <v>689768</v>
      </c>
      <c r="H22" s="5">
        <v>-432</v>
      </c>
      <c r="I22" s="10">
        <v>667298</v>
      </c>
      <c r="J22" s="5">
        <v>620257</v>
      </c>
      <c r="K22" s="5">
        <v>47041</v>
      </c>
      <c r="L22" s="10">
        <v>545376</v>
      </c>
      <c r="M22" s="5">
        <v>543448</v>
      </c>
      <c r="N22" s="5">
        <v>1928</v>
      </c>
      <c r="O22" s="10">
        <f t="shared" si="0"/>
        <v>41476</v>
      </c>
      <c r="P22" s="97">
        <f t="shared" si="1"/>
        <v>2.0346273202041104E-2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">
      <c r="A23" s="42">
        <v>10656</v>
      </c>
      <c r="B23" s="77" t="s">
        <v>8</v>
      </c>
      <c r="C23" s="10">
        <v>300</v>
      </c>
      <c r="D23" s="5">
        <v>326</v>
      </c>
      <c r="E23" s="5">
        <v>-26</v>
      </c>
      <c r="F23" s="10">
        <v>300</v>
      </c>
      <c r="G23" s="5">
        <v>305</v>
      </c>
      <c r="H23" s="5">
        <v>-5</v>
      </c>
      <c r="I23" s="10">
        <v>333</v>
      </c>
      <c r="J23" s="5">
        <v>248</v>
      </c>
      <c r="K23" s="5">
        <v>85</v>
      </c>
      <c r="L23" s="10">
        <v>333</v>
      </c>
      <c r="M23" s="5">
        <v>222</v>
      </c>
      <c r="N23" s="5">
        <v>111</v>
      </c>
      <c r="O23" s="10">
        <f t="shared" si="0"/>
        <v>54</v>
      </c>
      <c r="P23" s="97">
        <f t="shared" si="1"/>
        <v>6.1363636363636363E-2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">
      <c r="A24" s="42">
        <v>12296</v>
      </c>
      <c r="B24" s="77" t="s">
        <v>8</v>
      </c>
      <c r="C24" s="10">
        <v>2500</v>
      </c>
      <c r="D24" s="5">
        <v>2625</v>
      </c>
      <c r="E24" s="5">
        <v>-125</v>
      </c>
      <c r="F24" s="10">
        <v>2500</v>
      </c>
      <c r="G24" s="5">
        <v>2621</v>
      </c>
      <c r="H24" s="5">
        <v>-121</v>
      </c>
      <c r="I24" s="10">
        <v>2500</v>
      </c>
      <c r="J24" s="5">
        <v>2542</v>
      </c>
      <c r="K24" s="5">
        <v>-42</v>
      </c>
      <c r="L24" s="10">
        <v>2500</v>
      </c>
      <c r="M24" s="5">
        <v>2251</v>
      </c>
      <c r="N24" s="5">
        <v>249</v>
      </c>
      <c r="O24" s="10">
        <f t="shared" si="0"/>
        <v>-288</v>
      </c>
      <c r="P24" s="97">
        <f t="shared" si="1"/>
        <v>-3.6975221466170237E-2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">
      <c r="A25" s="42">
        <v>16786</v>
      </c>
      <c r="B25" s="77" t="s">
        <v>8</v>
      </c>
      <c r="C25" s="10">
        <v>3509</v>
      </c>
      <c r="D25" s="5">
        <v>3801</v>
      </c>
      <c r="E25" s="5">
        <v>-292</v>
      </c>
      <c r="F25" s="10">
        <v>3509</v>
      </c>
      <c r="G25" s="5">
        <v>3656</v>
      </c>
      <c r="H25" s="5">
        <v>-147</v>
      </c>
      <c r="I25" s="10">
        <v>3509</v>
      </c>
      <c r="J25" s="5">
        <v>3317</v>
      </c>
      <c r="K25" s="5">
        <v>192</v>
      </c>
      <c r="L25" s="10">
        <v>3043</v>
      </c>
      <c r="M25" s="5">
        <v>2921</v>
      </c>
      <c r="N25" s="5">
        <v>122</v>
      </c>
      <c r="O25" s="10">
        <f t="shared" si="0"/>
        <v>-247</v>
      </c>
      <c r="P25" s="97">
        <f t="shared" si="1"/>
        <v>-2.2923433874709978E-2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">
      <c r="A26" s="42">
        <v>17791</v>
      </c>
      <c r="B26" s="77" t="s">
        <v>8</v>
      </c>
      <c r="C26" s="10">
        <v>140</v>
      </c>
      <c r="D26" s="5">
        <v>363</v>
      </c>
      <c r="E26" s="5">
        <v>-223</v>
      </c>
      <c r="F26" s="10">
        <v>140</v>
      </c>
      <c r="G26" s="5">
        <v>349</v>
      </c>
      <c r="H26" s="5">
        <v>-209</v>
      </c>
      <c r="I26" s="10">
        <v>140</v>
      </c>
      <c r="J26" s="5">
        <v>324</v>
      </c>
      <c r="K26" s="5">
        <v>-184</v>
      </c>
      <c r="L26" s="10">
        <v>140</v>
      </c>
      <c r="M26" s="5">
        <v>289</v>
      </c>
      <c r="N26" s="5">
        <v>-149</v>
      </c>
      <c r="O26" s="10">
        <f t="shared" si="0"/>
        <v>-616</v>
      </c>
      <c r="P26" s="97">
        <f t="shared" si="1"/>
        <v>-0.59402121504339445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">
      <c r="A29" s="42"/>
      <c r="B29" s="77"/>
      <c r="C29" s="15">
        <v>36639</v>
      </c>
      <c r="D29" s="5"/>
      <c r="E29" s="5"/>
      <c r="F29" s="15">
        <v>36640</v>
      </c>
      <c r="G29" s="5"/>
      <c r="H29" s="5"/>
      <c r="I29" s="15">
        <v>36641</v>
      </c>
      <c r="J29" s="5"/>
      <c r="K29" s="5"/>
      <c r="L29" s="15">
        <v>36642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3"/>
        <v xml:space="preserve"> </v>
      </c>
    </row>
    <row r="30" spans="1:22" hidden="1" x14ac:dyDescent="0.2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3"/>
        <v>#VALUE!</v>
      </c>
    </row>
    <row r="31" spans="1:22" x14ac:dyDescent="0.2">
      <c r="A31" s="42">
        <v>1117</v>
      </c>
      <c r="B31" s="77" t="s">
        <v>15</v>
      </c>
      <c r="C31" s="10">
        <v>70577</v>
      </c>
      <c r="D31" s="5">
        <v>56866</v>
      </c>
      <c r="E31" s="5">
        <v>13711</v>
      </c>
      <c r="F31" s="10">
        <v>80586</v>
      </c>
      <c r="G31" s="5">
        <v>72524</v>
      </c>
      <c r="H31" s="5">
        <v>8062</v>
      </c>
      <c r="I31" s="10">
        <v>34040</v>
      </c>
      <c r="J31" s="5">
        <v>69540</v>
      </c>
      <c r="K31" s="5">
        <v>-35500</v>
      </c>
      <c r="L31" s="10">
        <v>47485</v>
      </c>
      <c r="M31" s="5">
        <v>70902</v>
      </c>
      <c r="N31" s="5">
        <v>-23417</v>
      </c>
      <c r="O31" s="10">
        <f t="shared" si="0"/>
        <v>-13727</v>
      </c>
      <c r="P31" s="97">
        <f t="shared" si="1"/>
        <v>-6.9003825447014291E-2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 xml:space="preserve"> 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 xml:space="preserve"> </v>
      </c>
      <c r="U31" s="21" t="str">
        <f>IF($C$4="High Inventory",IF(AND($O31&gt;=0,$P31&gt;=Summary!$C$107),"X"," "),IF(AND($O31&lt;=0,$P31&lt;=-Summary!$C$107),"X"," "))</f>
        <v xml:space="preserve"> </v>
      </c>
      <c r="V31" t="str">
        <f t="shared" si="3"/>
        <v xml:space="preserve"> </v>
      </c>
    </row>
    <row r="32" spans="1:22" x14ac:dyDescent="0.2">
      <c r="A32" s="42">
        <v>1126</v>
      </c>
      <c r="B32" s="77" t="s">
        <v>15</v>
      </c>
      <c r="C32" s="10">
        <v>32918</v>
      </c>
      <c r="D32" s="5">
        <v>27664</v>
      </c>
      <c r="E32" s="5">
        <v>5254</v>
      </c>
      <c r="F32" s="10">
        <v>32918</v>
      </c>
      <c r="G32" s="5">
        <v>28752</v>
      </c>
      <c r="H32" s="5">
        <v>4166</v>
      </c>
      <c r="I32" s="10">
        <v>32918</v>
      </c>
      <c r="J32" s="5">
        <v>29045</v>
      </c>
      <c r="K32" s="5">
        <v>3873</v>
      </c>
      <c r="L32" s="10">
        <v>32918</v>
      </c>
      <c r="M32" s="5">
        <v>29747</v>
      </c>
      <c r="N32" s="5">
        <v>3171</v>
      </c>
      <c r="O32" s="10">
        <f t="shared" si="0"/>
        <v>13293</v>
      </c>
      <c r="P32" s="97">
        <f t="shared" si="1"/>
        <v>0.15554281435023753</v>
      </c>
      <c r="Q32" s="17" t="s">
        <v>44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">
      <c r="A33" s="42">
        <v>1157</v>
      </c>
      <c r="B33" s="77" t="s">
        <v>15</v>
      </c>
      <c r="C33" s="10">
        <v>77405</v>
      </c>
      <c r="D33" s="5">
        <v>73840</v>
      </c>
      <c r="E33" s="5">
        <v>3565</v>
      </c>
      <c r="F33" s="10">
        <v>77405</v>
      </c>
      <c r="G33" s="5">
        <v>79678</v>
      </c>
      <c r="H33" s="5">
        <v>-2273</v>
      </c>
      <c r="I33" s="10">
        <v>52613</v>
      </c>
      <c r="J33" s="5">
        <v>86124</v>
      </c>
      <c r="K33" s="5">
        <v>-33511</v>
      </c>
      <c r="L33" s="10">
        <v>52248</v>
      </c>
      <c r="M33" s="5">
        <v>99306</v>
      </c>
      <c r="N33" s="5">
        <v>-47058</v>
      </c>
      <c r="O33" s="10">
        <f t="shared" si="0"/>
        <v>-32219</v>
      </c>
      <c r="P33" s="97">
        <f t="shared" si="1"/>
        <v>-0.13444582149280387</v>
      </c>
      <c r="Q33" s="101" t="str">
        <f t="shared" si="2"/>
        <v xml:space="preserve"> </v>
      </c>
      <c r="R33" s="91" t="str">
        <f>IF($C$4="High Inventory",IF(AND(O33&gt;=Summary!$C$106,P33&gt;=Summary!$C$107),"X"," "),IF(AND(O33&lt;=-Summary!$C$106,P33&lt;=-Summary!$C$107),"X"," "))</f>
        <v xml:space="preserve"> 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 xml:space="preserve"> </v>
      </c>
      <c r="U33" s="21" t="str">
        <f>IF($C$4="High Inventory",IF(AND($O33&gt;=0,$P33&gt;=Summary!$C$107),"X"," "),IF(AND($O33&lt;=0,$P33&lt;=-Summary!$C$107),"X"," "))</f>
        <v xml:space="preserve"> </v>
      </c>
      <c r="V33" t="str">
        <f t="shared" si="3"/>
        <v xml:space="preserve"> </v>
      </c>
    </row>
    <row r="34" spans="1:22" x14ac:dyDescent="0.2">
      <c r="A34" s="42">
        <v>1281</v>
      </c>
      <c r="B34" s="77" t="s">
        <v>15</v>
      </c>
      <c r="C34" s="10">
        <v>14815</v>
      </c>
      <c r="D34" s="5">
        <v>10915</v>
      </c>
      <c r="E34" s="5">
        <v>3900</v>
      </c>
      <c r="F34" s="10">
        <v>11005</v>
      </c>
      <c r="G34" s="5">
        <v>24161</v>
      </c>
      <c r="H34" s="5">
        <v>-13156</v>
      </c>
      <c r="I34" s="10">
        <v>31835</v>
      </c>
      <c r="J34" s="5">
        <v>25128</v>
      </c>
      <c r="K34" s="5">
        <v>6707</v>
      </c>
      <c r="L34" s="10">
        <v>26731</v>
      </c>
      <c r="M34" s="5">
        <v>23861</v>
      </c>
      <c r="N34" s="5">
        <v>2870</v>
      </c>
      <c r="O34" s="10">
        <f t="shared" si="0"/>
        <v>-2549</v>
      </c>
      <c r="P34" s="97">
        <f t="shared" si="1"/>
        <v>-4.2338676189685245E-2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 t="str">
        <f t="shared" si="3"/>
        <v xml:space="preserve"> </v>
      </c>
    </row>
    <row r="35" spans="1:22" x14ac:dyDescent="0.2">
      <c r="A35" s="42">
        <v>1340</v>
      </c>
      <c r="B35" s="77" t="s">
        <v>15</v>
      </c>
      <c r="C35" s="10">
        <v>5218</v>
      </c>
      <c r="D35" s="5">
        <v>3003</v>
      </c>
      <c r="E35" s="5">
        <v>2215</v>
      </c>
      <c r="F35" s="10">
        <v>5218</v>
      </c>
      <c r="G35" s="5">
        <v>4332</v>
      </c>
      <c r="H35" s="5">
        <v>886</v>
      </c>
      <c r="I35" s="10">
        <v>5218</v>
      </c>
      <c r="J35" s="5">
        <v>4429</v>
      </c>
      <c r="K35" s="5">
        <v>789</v>
      </c>
      <c r="L35" s="10">
        <v>5218</v>
      </c>
      <c r="M35" s="5">
        <v>4990</v>
      </c>
      <c r="N35" s="5">
        <v>228</v>
      </c>
      <c r="O35" s="10">
        <f t="shared" si="0"/>
        <v>3890</v>
      </c>
      <c r="P35" s="97">
        <f t="shared" si="1"/>
        <v>0.33064173395665108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>X</v>
      </c>
      <c r="V35" t="str">
        <f t="shared" si="3"/>
        <v xml:space="preserve"> </v>
      </c>
    </row>
    <row r="36" spans="1:22" x14ac:dyDescent="0.2">
      <c r="A36" s="42">
        <v>1377</v>
      </c>
      <c r="B36" s="77" t="s">
        <v>15</v>
      </c>
      <c r="C36" s="10">
        <v>75678</v>
      </c>
      <c r="D36" s="5">
        <v>78256</v>
      </c>
      <c r="E36" s="5">
        <v>-2578</v>
      </c>
      <c r="F36" s="10">
        <v>75133</v>
      </c>
      <c r="G36" s="5">
        <v>77931</v>
      </c>
      <c r="H36" s="5">
        <v>-2798</v>
      </c>
      <c r="I36" s="10">
        <v>69834</v>
      </c>
      <c r="J36" s="5">
        <v>78909</v>
      </c>
      <c r="K36" s="5">
        <v>-9075</v>
      </c>
      <c r="L36" s="10">
        <v>91308</v>
      </c>
      <c r="M36" s="5">
        <v>77829</v>
      </c>
      <c r="N36" s="5">
        <v>13479</v>
      </c>
      <c r="O36" s="10">
        <f t="shared" si="0"/>
        <v>-14451</v>
      </c>
      <c r="P36" s="97">
        <f t="shared" si="1"/>
        <v>-6.1468245022267408E-2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>X</v>
      </c>
      <c r="T36" s="17" t="str">
        <f>IF($C$4="High Inventory",IF(AND($O36&gt;=Summary!$C$106,$P36&gt;=0%),"X"," "),IF(AND($O36&lt;=-Summary!$C$106,$P36&lt;=0%),"X"," "))</f>
        <v xml:space="preserve"> </v>
      </c>
      <c r="U36" s="21" t="str">
        <f>IF($C$4="High Inventory",IF(AND($O36&gt;=0,$P36&gt;=Summary!$C$107),"X"," "),IF(AND($O36&lt;=0,$P36&lt;=-Summary!$C$107),"X"," "))</f>
        <v xml:space="preserve"> </v>
      </c>
      <c r="V36">
        <f t="shared" si="3"/>
        <v>21474</v>
      </c>
    </row>
    <row r="37" spans="1:22" x14ac:dyDescent="0.2">
      <c r="A37" s="42">
        <v>1830</v>
      </c>
      <c r="B37" s="77" t="s">
        <v>15</v>
      </c>
      <c r="C37" s="10">
        <v>0</v>
      </c>
      <c r="D37" s="5">
        <v>1</v>
      </c>
      <c r="E37" s="5">
        <v>-1</v>
      </c>
      <c r="F37" s="10">
        <v>0</v>
      </c>
      <c r="G37" s="5">
        <v>1</v>
      </c>
      <c r="H37" s="5">
        <v>-1</v>
      </c>
      <c r="I37" s="10">
        <v>0</v>
      </c>
      <c r="J37" s="5">
        <v>1</v>
      </c>
      <c r="K37" s="5">
        <v>-1</v>
      </c>
      <c r="L37" s="10">
        <v>0</v>
      </c>
      <c r="M37" s="5">
        <v>1</v>
      </c>
      <c r="N37" s="5">
        <v>-1</v>
      </c>
      <c r="O37" s="10">
        <f t="shared" si="0"/>
        <v>-3</v>
      </c>
      <c r="P37" s="97">
        <f t="shared" si="1"/>
        <v>-0.75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">
      <c r="A38" s="42">
        <v>1864</v>
      </c>
      <c r="B38" s="77" t="s">
        <v>15</v>
      </c>
      <c r="C38" s="10">
        <v>62674</v>
      </c>
      <c r="D38" s="5">
        <v>26783</v>
      </c>
      <c r="E38" s="5">
        <v>35891</v>
      </c>
      <c r="F38" s="10">
        <v>62866</v>
      </c>
      <c r="G38" s="5">
        <v>27053</v>
      </c>
      <c r="H38" s="5">
        <v>35813</v>
      </c>
      <c r="I38" s="10">
        <v>33947</v>
      </c>
      <c r="J38" s="5">
        <v>53797</v>
      </c>
      <c r="K38" s="5">
        <v>-19850</v>
      </c>
      <c r="L38" s="10">
        <v>86788</v>
      </c>
      <c r="M38" s="5">
        <v>102345</v>
      </c>
      <c r="N38" s="5">
        <v>-15557</v>
      </c>
      <c r="O38" s="10">
        <f t="shared" si="0"/>
        <v>51854</v>
      </c>
      <c r="P38" s="97">
        <f t="shared" si="1"/>
        <v>0.48176226842819181</v>
      </c>
      <c r="Q38" s="17" t="s">
        <v>44</v>
      </c>
      <c r="R38" s="91" t="str">
        <f>IF($C$4="High Inventory",IF(AND(O38&gt;=Summary!$C$106,P38&gt;=Summary!$C$107),"X"," "),IF(AND(O38&lt;=-Summary!$C$106,P38&lt;=-Summary!$C$107),"X"," "))</f>
        <v>X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>X</v>
      </c>
      <c r="V38" t="str">
        <f t="shared" si="3"/>
        <v xml:space="preserve"> </v>
      </c>
    </row>
    <row r="39" spans="1:22" x14ac:dyDescent="0.2">
      <c r="A39" s="42">
        <v>1922</v>
      </c>
      <c r="B39" s="77" t="s">
        <v>15</v>
      </c>
      <c r="C39" s="10">
        <v>32838</v>
      </c>
      <c r="D39" s="5">
        <v>38279</v>
      </c>
      <c r="E39" s="5">
        <v>-5441</v>
      </c>
      <c r="F39" s="10">
        <v>32838</v>
      </c>
      <c r="G39" s="5">
        <v>61297</v>
      </c>
      <c r="H39" s="5">
        <v>-28459</v>
      </c>
      <c r="I39" s="10">
        <v>83534</v>
      </c>
      <c r="J39" s="5">
        <v>61324</v>
      </c>
      <c r="K39" s="5">
        <v>22210</v>
      </c>
      <c r="L39" s="10">
        <v>45442</v>
      </c>
      <c r="M39" s="5">
        <v>58468</v>
      </c>
      <c r="N39" s="5">
        <v>-13026</v>
      </c>
      <c r="O39" s="10">
        <f t="shared" si="0"/>
        <v>-11690</v>
      </c>
      <c r="P39" s="97">
        <f t="shared" si="1"/>
        <v>-7.2653370706210654E-2</v>
      </c>
      <c r="Q39" s="17" t="s">
        <v>44</v>
      </c>
      <c r="R39" s="91" t="str">
        <f>IF($C$4="High Inventory",IF(AND(O39&gt;=Summary!$C$106,P39&gt;=Summary!$C$107),"X"," "),IF(AND(O39&lt;=-Summary!$C$106,P39&lt;=-Summary!$C$107),"X"," "))</f>
        <v xml:space="preserve"> 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 xml:space="preserve"> </v>
      </c>
      <c r="U39" s="21" t="str">
        <f>IF($C$4="High Inventory",IF(AND($O39&gt;=0,$P39&gt;=Summary!$C$107),"X"," "),IF(AND($O39&lt;=0,$P39&lt;=-Summary!$C$107),"X"," "))</f>
        <v xml:space="preserve"> </v>
      </c>
      <c r="V39" t="str">
        <f t="shared" si="3"/>
        <v xml:space="preserve"> </v>
      </c>
    </row>
    <row r="40" spans="1:22" x14ac:dyDescent="0.2">
      <c r="A40" s="42">
        <v>1928</v>
      </c>
      <c r="B40" s="77" t="s">
        <v>15</v>
      </c>
      <c r="C40" s="10">
        <v>16689</v>
      </c>
      <c r="D40" s="5">
        <v>13560</v>
      </c>
      <c r="E40" s="5">
        <v>3129</v>
      </c>
      <c r="F40" s="10">
        <v>16689</v>
      </c>
      <c r="G40" s="5">
        <v>11732</v>
      </c>
      <c r="H40" s="5">
        <v>4957</v>
      </c>
      <c r="I40" s="10">
        <v>16689</v>
      </c>
      <c r="J40" s="5">
        <v>12008</v>
      </c>
      <c r="K40" s="5">
        <v>4681</v>
      </c>
      <c r="L40" s="10">
        <v>16689</v>
      </c>
      <c r="M40" s="5">
        <v>12347</v>
      </c>
      <c r="N40" s="5">
        <v>4342</v>
      </c>
      <c r="O40" s="10">
        <f t="shared" si="0"/>
        <v>12767</v>
      </c>
      <c r="P40" s="97">
        <f t="shared" si="1"/>
        <v>0.34226964424546258</v>
      </c>
      <c r="Q40" s="101" t="str">
        <f>" "</f>
        <v xml:space="preserve"> </v>
      </c>
      <c r="R40" s="91" t="str">
        <f>IF($C$4="High Inventory",IF(AND(O40&gt;=Summary!$C$106,P40&gt;=Summary!$C$107),"X"," "),IF(AND(O40&lt;=-Summary!$C$106,P40&lt;=-Summary!$C$107),"X"," "))</f>
        <v>X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>X</v>
      </c>
      <c r="U40" s="21" t="str">
        <f>IF($C$4="High Inventory",IF(AND($O40&gt;=0,$P40&gt;=Summary!$C$107),"X"," "),IF(AND($O40&lt;=0,$P40&lt;=-Summary!$C$107),"X"," "))</f>
        <v>X</v>
      </c>
      <c r="V40" t="str">
        <f t="shared" si="3"/>
        <v xml:space="preserve"> </v>
      </c>
    </row>
    <row r="41" spans="1:22" x14ac:dyDescent="0.2">
      <c r="A41" s="42">
        <v>2056</v>
      </c>
      <c r="B41" s="77" t="s">
        <v>15</v>
      </c>
      <c r="C41" s="10">
        <v>63477</v>
      </c>
      <c r="D41" s="5">
        <v>63873</v>
      </c>
      <c r="E41" s="5">
        <v>-396</v>
      </c>
      <c r="F41" s="10">
        <v>63433</v>
      </c>
      <c r="G41" s="5">
        <v>58657</v>
      </c>
      <c r="H41" s="5">
        <v>4776</v>
      </c>
      <c r="I41" s="10">
        <v>68433</v>
      </c>
      <c r="J41" s="5">
        <v>56600</v>
      </c>
      <c r="K41" s="5">
        <v>11833</v>
      </c>
      <c r="L41" s="10">
        <v>58433</v>
      </c>
      <c r="M41" s="5">
        <v>59078</v>
      </c>
      <c r="N41" s="5">
        <v>-645</v>
      </c>
      <c r="O41" s="10">
        <f t="shared" si="0"/>
        <v>16213</v>
      </c>
      <c r="P41" s="97">
        <f t="shared" si="1"/>
        <v>9.0509180432197661E-2</v>
      </c>
      <c r="Q41" s="101" t="str">
        <f>" "</f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>X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">
      <c r="A42" s="42">
        <v>2280</v>
      </c>
      <c r="B42" s="77" t="s">
        <v>15</v>
      </c>
      <c r="C42" s="10">
        <v>5991</v>
      </c>
      <c r="D42" s="5">
        <v>2728</v>
      </c>
      <c r="E42" s="5">
        <v>3263</v>
      </c>
      <c r="F42" s="10">
        <v>5991</v>
      </c>
      <c r="G42" s="5">
        <v>5261</v>
      </c>
      <c r="H42" s="5">
        <v>730</v>
      </c>
      <c r="I42" s="10">
        <v>3491</v>
      </c>
      <c r="J42" s="5">
        <v>7141</v>
      </c>
      <c r="K42" s="5">
        <v>-3650</v>
      </c>
      <c r="L42" s="10">
        <v>5491</v>
      </c>
      <c r="M42" s="5">
        <v>6537</v>
      </c>
      <c r="N42" s="5">
        <v>-1046</v>
      </c>
      <c r="O42" s="10">
        <f t="shared" si="0"/>
        <v>343</v>
      </c>
      <c r="P42" s="97">
        <f t="shared" si="1"/>
        <v>2.2668693410878328E-2</v>
      </c>
      <c r="Q42" s="101" t="str">
        <f>" "</f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">
      <c r="A43" s="42">
        <v>2584</v>
      </c>
      <c r="B43" s="77" t="s">
        <v>15</v>
      </c>
      <c r="C43" s="10">
        <v>62337</v>
      </c>
      <c r="D43" s="5">
        <v>40275</v>
      </c>
      <c r="E43" s="5">
        <v>22062</v>
      </c>
      <c r="F43" s="10">
        <v>62337</v>
      </c>
      <c r="G43" s="5">
        <v>51097</v>
      </c>
      <c r="H43" s="5">
        <v>11240</v>
      </c>
      <c r="I43" s="10">
        <v>70337</v>
      </c>
      <c r="J43" s="5">
        <v>52739</v>
      </c>
      <c r="K43" s="5">
        <v>17598</v>
      </c>
      <c r="L43" s="10">
        <v>45329</v>
      </c>
      <c r="M43" s="5">
        <v>50840</v>
      </c>
      <c r="N43" s="5">
        <v>-5511</v>
      </c>
      <c r="O43" s="10">
        <f t="shared" si="0"/>
        <v>50900</v>
      </c>
      <c r="P43" s="97">
        <f t="shared" si="1"/>
        <v>0.35319751304540914</v>
      </c>
      <c r="Q43" s="17" t="s">
        <v>44</v>
      </c>
      <c r="R43" s="91" t="str">
        <f>IF($C$4="High Inventory",IF(AND(O43&gt;=Summary!$C$106,P43&gt;=Summary!$C$107),"X"," "),IF(AND(O43&lt;=-Summary!$C$106,P43&lt;=-Summary!$C$107),"X"," "))</f>
        <v>X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>X</v>
      </c>
      <c r="U43" s="21" t="str">
        <f>IF($C$4="High Inventory",IF(AND($O43&gt;=0,$P43&gt;=Summary!$C$107),"X"," "),IF(AND($O43&lt;=0,$P43&lt;=-Summary!$C$107),"X"," "))</f>
        <v>X</v>
      </c>
      <c r="V43" t="str">
        <f t="shared" si="4"/>
        <v xml:space="preserve"> </v>
      </c>
    </row>
    <row r="44" spans="1:22" x14ac:dyDescent="0.2">
      <c r="A44" s="42">
        <v>2771</v>
      </c>
      <c r="B44" s="77" t="s">
        <v>15</v>
      </c>
      <c r="C44" s="10">
        <v>48462</v>
      </c>
      <c r="D44" s="5">
        <v>17849</v>
      </c>
      <c r="E44" s="5">
        <v>30613</v>
      </c>
      <c r="F44" s="10">
        <v>27404</v>
      </c>
      <c r="G44" s="5">
        <v>25722</v>
      </c>
      <c r="H44" s="5">
        <v>1682</v>
      </c>
      <c r="I44" s="10">
        <v>3462</v>
      </c>
      <c r="J44" s="5">
        <v>25054</v>
      </c>
      <c r="K44" s="5">
        <v>-21592</v>
      </c>
      <c r="L44" s="10">
        <v>3462</v>
      </c>
      <c r="M44" s="5">
        <v>25886</v>
      </c>
      <c r="N44" s="5">
        <v>-22424</v>
      </c>
      <c r="O44" s="10">
        <f t="shared" si="0"/>
        <v>10703</v>
      </c>
      <c r="P44" s="97">
        <f t="shared" si="1"/>
        <v>0.15596129746743218</v>
      </c>
      <c r="Q44" s="101" t="str">
        <f>" "</f>
        <v xml:space="preserve"> 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4"/>
        <v xml:space="preserve"> </v>
      </c>
    </row>
    <row r="45" spans="1:22" x14ac:dyDescent="0.2">
      <c r="A45" s="42">
        <v>2832</v>
      </c>
      <c r="B45" s="77" t="s">
        <v>15</v>
      </c>
      <c r="C45" s="10">
        <v>3600</v>
      </c>
      <c r="D45" s="5">
        <v>4831</v>
      </c>
      <c r="E45" s="5">
        <v>-1231</v>
      </c>
      <c r="F45" s="10">
        <v>3600</v>
      </c>
      <c r="G45" s="5">
        <v>6966</v>
      </c>
      <c r="H45" s="5">
        <v>-3366</v>
      </c>
      <c r="I45" s="10">
        <v>13600</v>
      </c>
      <c r="J45" s="5">
        <v>7116</v>
      </c>
      <c r="K45" s="5">
        <v>6484</v>
      </c>
      <c r="L45" s="10">
        <v>3800</v>
      </c>
      <c r="M45" s="5">
        <v>6098</v>
      </c>
      <c r="N45" s="5">
        <v>-2298</v>
      </c>
      <c r="O45" s="10">
        <f t="shared" si="0"/>
        <v>1887</v>
      </c>
      <c r="P45" s="97">
        <f t="shared" si="1"/>
        <v>9.9767368087131228E-2</v>
      </c>
      <c r="Q45" s="17" t="s">
        <v>44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">
      <c r="A46" s="42">
        <v>2892</v>
      </c>
      <c r="B46" s="77" t="s">
        <v>15</v>
      </c>
      <c r="C46" s="10">
        <v>170</v>
      </c>
      <c r="D46" s="5">
        <v>227</v>
      </c>
      <c r="E46" s="5">
        <v>-57</v>
      </c>
      <c r="F46" s="10">
        <v>170</v>
      </c>
      <c r="G46" s="5">
        <v>215</v>
      </c>
      <c r="H46" s="5">
        <v>-45</v>
      </c>
      <c r="I46" s="10">
        <v>170</v>
      </c>
      <c r="J46" s="5">
        <v>214</v>
      </c>
      <c r="K46" s="5">
        <v>-44</v>
      </c>
      <c r="L46" s="10">
        <v>170</v>
      </c>
      <c r="M46" s="5">
        <v>197</v>
      </c>
      <c r="N46" s="5">
        <v>-27</v>
      </c>
      <c r="O46" s="10">
        <f t="shared" si="0"/>
        <v>-146</v>
      </c>
      <c r="P46" s="97">
        <f t="shared" si="1"/>
        <v>-0.22222222222222221</v>
      </c>
      <c r="Q46" s="101" t="str">
        <f>" "</f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">
      <c r="A47" s="42">
        <v>3015</v>
      </c>
      <c r="B47" s="77" t="s">
        <v>15</v>
      </c>
      <c r="C47" s="10">
        <v>22795</v>
      </c>
      <c r="D47" s="5">
        <v>20080</v>
      </c>
      <c r="E47" s="5">
        <v>2715</v>
      </c>
      <c r="F47" s="10">
        <v>22795</v>
      </c>
      <c r="G47" s="5">
        <v>21336</v>
      </c>
      <c r="H47" s="5">
        <v>1459</v>
      </c>
      <c r="I47" s="10">
        <v>22795</v>
      </c>
      <c r="J47" s="5">
        <v>19662</v>
      </c>
      <c r="K47" s="5">
        <v>3133</v>
      </c>
      <c r="L47" s="10">
        <v>22795</v>
      </c>
      <c r="M47" s="5">
        <v>17588</v>
      </c>
      <c r="N47" s="5">
        <v>5207</v>
      </c>
      <c r="O47" s="10">
        <f t="shared" si="0"/>
        <v>7307</v>
      </c>
      <c r="P47" s="97">
        <f t="shared" si="1"/>
        <v>0.11963195206208353</v>
      </c>
      <c r="Q47" s="101" t="str">
        <f>" "</f>
        <v xml:space="preserve"> </v>
      </c>
      <c r="R47" s="91" t="str">
        <f>IF($C$4="High Inventory",IF(AND(O47&gt;=Summary!$C$106,P47&gt;=Summary!$C$107),"X"," "),IF(AND(O47&lt;=-Summary!$C$106,P47&lt;=-Summary!$C$107),"X"," "))</f>
        <v>X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>X</v>
      </c>
      <c r="U47" s="21" t="str">
        <f>IF($C$4="High Inventory",IF(AND($O47&gt;=0,$P47&gt;=Summary!$C$107),"X"," "),IF(AND($O47&lt;=0,$P47&lt;=-Summary!$C$107),"X"," "))</f>
        <v>X</v>
      </c>
      <c r="V47" t="str">
        <f t="shared" si="4"/>
        <v xml:space="preserve"> </v>
      </c>
    </row>
    <row r="48" spans="1:22" x14ac:dyDescent="0.2">
      <c r="A48" s="42">
        <v>4303</v>
      </c>
      <c r="B48" s="77" t="s">
        <v>15</v>
      </c>
      <c r="C48" s="10">
        <v>3711</v>
      </c>
      <c r="D48" s="5">
        <v>2228</v>
      </c>
      <c r="E48" s="5">
        <v>1483</v>
      </c>
      <c r="F48" s="10">
        <v>2201</v>
      </c>
      <c r="G48" s="5">
        <v>3070</v>
      </c>
      <c r="H48" s="5">
        <v>-869</v>
      </c>
      <c r="I48" s="10">
        <v>2088</v>
      </c>
      <c r="J48" s="5">
        <v>2856</v>
      </c>
      <c r="K48" s="5">
        <v>-768</v>
      </c>
      <c r="L48" s="10">
        <v>2201</v>
      </c>
      <c r="M48" s="5">
        <v>2862</v>
      </c>
      <c r="N48" s="5">
        <v>-661</v>
      </c>
      <c r="O48" s="10">
        <f t="shared" si="0"/>
        <v>-154</v>
      </c>
      <c r="P48" s="97">
        <f t="shared" si="1"/>
        <v>-1.8884120171673818E-2</v>
      </c>
      <c r="Q48" s="101" t="str">
        <f>" "</f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4"/>
        <v xml:space="preserve"> </v>
      </c>
    </row>
    <row r="49" spans="1:22" x14ac:dyDescent="0.2">
      <c r="A49" s="42">
        <v>4438</v>
      </c>
      <c r="B49" s="77" t="s">
        <v>15</v>
      </c>
      <c r="C49" s="10">
        <v>58968</v>
      </c>
      <c r="D49" s="5">
        <v>60944</v>
      </c>
      <c r="E49" s="5">
        <v>-1976</v>
      </c>
      <c r="F49" s="10">
        <v>58968</v>
      </c>
      <c r="G49" s="5">
        <v>61998</v>
      </c>
      <c r="H49" s="5">
        <v>-3030</v>
      </c>
      <c r="I49" s="10">
        <v>50687</v>
      </c>
      <c r="J49" s="5">
        <v>61653</v>
      </c>
      <c r="K49" s="5">
        <v>-10966</v>
      </c>
      <c r="L49" s="10">
        <v>59415</v>
      </c>
      <c r="M49" s="5">
        <v>61506</v>
      </c>
      <c r="N49" s="5">
        <v>-2091</v>
      </c>
      <c r="O49" s="10">
        <f t="shared" si="0"/>
        <v>-15972</v>
      </c>
      <c r="P49" s="97">
        <f t="shared" si="1"/>
        <v>-8.6524085028928041E-2</v>
      </c>
      <c r="Q49" s="101" t="str">
        <f>" "</f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">
      <c r="A50" s="42">
        <v>4760</v>
      </c>
      <c r="B50" s="77" t="s">
        <v>15</v>
      </c>
      <c r="C50" s="10">
        <v>96298</v>
      </c>
      <c r="D50" s="5">
        <v>69012</v>
      </c>
      <c r="E50" s="5">
        <v>27286</v>
      </c>
      <c r="F50" s="10">
        <v>181298</v>
      </c>
      <c r="G50" s="5">
        <v>172258</v>
      </c>
      <c r="H50" s="5">
        <v>9040</v>
      </c>
      <c r="I50" s="10">
        <v>199475</v>
      </c>
      <c r="J50" s="5">
        <v>237959</v>
      </c>
      <c r="K50" s="5">
        <v>-38484</v>
      </c>
      <c r="L50" s="10">
        <v>235400</v>
      </c>
      <c r="M50" s="5">
        <v>287668</v>
      </c>
      <c r="N50" s="5">
        <v>-52268</v>
      </c>
      <c r="O50" s="10">
        <f t="shared" si="0"/>
        <v>-2158</v>
      </c>
      <c r="P50" s="97">
        <f t="shared" si="1"/>
        <v>-4.5030569872503805E-3</v>
      </c>
      <c r="Q50" s="17" t="s">
        <v>44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">
      <c r="A51" s="42">
        <v>6084</v>
      </c>
      <c r="B51" s="77" t="s">
        <v>15</v>
      </c>
      <c r="C51" s="10">
        <v>0</v>
      </c>
      <c r="D51" s="5">
        <v>2</v>
      </c>
      <c r="E51" s="5">
        <v>-2</v>
      </c>
      <c r="F51" s="10">
        <v>0</v>
      </c>
      <c r="G51" s="5">
        <v>110</v>
      </c>
      <c r="H51" s="5">
        <v>-110</v>
      </c>
      <c r="I51" s="10">
        <v>0</v>
      </c>
      <c r="J51" s="5">
        <v>132</v>
      </c>
      <c r="K51" s="5">
        <v>-132</v>
      </c>
      <c r="L51" s="10">
        <v>0</v>
      </c>
      <c r="M51" s="5">
        <v>121</v>
      </c>
      <c r="N51" s="5">
        <v>-121</v>
      </c>
      <c r="O51" s="10">
        <f t="shared" si="0"/>
        <v>-244</v>
      </c>
      <c r="P51" s="97">
        <f t="shared" si="1"/>
        <v>-0.99591836734693873</v>
      </c>
      <c r="Q51" s="101" t="str">
        <f t="shared" ref="Q51:Q84" si="5">" "</f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">
      <c r="A52" s="42">
        <v>6728</v>
      </c>
      <c r="B52" s="77" t="s">
        <v>15</v>
      </c>
      <c r="C52" s="10">
        <v>16000</v>
      </c>
      <c r="D52" s="5">
        <v>11916</v>
      </c>
      <c r="E52" s="5">
        <v>4084</v>
      </c>
      <c r="F52" s="10">
        <v>16000</v>
      </c>
      <c r="G52" s="5">
        <v>11066</v>
      </c>
      <c r="H52" s="5">
        <v>4934</v>
      </c>
      <c r="I52" s="10">
        <v>16000</v>
      </c>
      <c r="J52" s="5">
        <v>12124</v>
      </c>
      <c r="K52" s="5">
        <v>3876</v>
      </c>
      <c r="L52" s="10">
        <v>16000</v>
      </c>
      <c r="M52" s="5">
        <v>11022</v>
      </c>
      <c r="N52" s="5">
        <v>4978</v>
      </c>
      <c r="O52" s="10">
        <f t="shared" si="0"/>
        <v>12894</v>
      </c>
      <c r="P52" s="97">
        <f t="shared" si="1"/>
        <v>0.36727718118893665</v>
      </c>
      <c r="Q52" s="101" t="str">
        <f t="shared" si="5"/>
        <v xml:space="preserve"> </v>
      </c>
      <c r="R52" s="91" t="str">
        <f>IF($C$4="High Inventory",IF(AND(O52&gt;=Summary!$C$106,P52&gt;=Summary!$C$107),"X"," "),IF(AND(O52&lt;=-Summary!$C$106,P52&lt;=-Summary!$C$107),"X"," "))</f>
        <v>X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>X</v>
      </c>
      <c r="U52" s="21" t="str">
        <f>IF($C$4="High Inventory",IF(AND($O52&gt;=0,$P52&gt;=Summary!$C$107),"X"," "),IF(AND($O52&lt;=0,$P52&lt;=-Summary!$C$107),"X"," "))</f>
        <v>X</v>
      </c>
      <c r="V52" t="str">
        <f t="shared" si="4"/>
        <v xml:space="preserve"> </v>
      </c>
    </row>
    <row r="53" spans="1:22" x14ac:dyDescent="0.2">
      <c r="A53" s="42">
        <v>12296</v>
      </c>
      <c r="B53" s="77" t="s">
        <v>15</v>
      </c>
      <c r="C53" s="10">
        <v>25742</v>
      </c>
      <c r="D53" s="5">
        <v>21223</v>
      </c>
      <c r="E53" s="5">
        <v>4519</v>
      </c>
      <c r="F53" s="10">
        <v>25742</v>
      </c>
      <c r="G53" s="5">
        <v>25081</v>
      </c>
      <c r="H53" s="5">
        <v>661</v>
      </c>
      <c r="I53" s="10">
        <v>25742</v>
      </c>
      <c r="J53" s="5">
        <v>25702</v>
      </c>
      <c r="K53" s="5">
        <v>40</v>
      </c>
      <c r="L53" s="10">
        <v>25741</v>
      </c>
      <c r="M53" s="5">
        <v>28216</v>
      </c>
      <c r="N53" s="5">
        <v>-2475</v>
      </c>
      <c r="O53" s="10">
        <f t="shared" si="0"/>
        <v>5220</v>
      </c>
      <c r="P53" s="97">
        <f t="shared" si="1"/>
        <v>7.2492952074103903E-2</v>
      </c>
      <c r="Q53" s="101" t="str">
        <f t="shared" si="5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>X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x14ac:dyDescent="0.2">
      <c r="A54" s="42">
        <v>21856</v>
      </c>
      <c r="B54" s="77" t="s">
        <v>15</v>
      </c>
      <c r="C54" s="10">
        <v>6590</v>
      </c>
      <c r="D54" s="5">
        <v>5755</v>
      </c>
      <c r="E54" s="5">
        <v>835</v>
      </c>
      <c r="F54" s="10">
        <v>6590</v>
      </c>
      <c r="G54" s="5">
        <v>6683</v>
      </c>
      <c r="H54" s="5">
        <v>-93</v>
      </c>
      <c r="I54" s="10">
        <v>6590</v>
      </c>
      <c r="J54" s="5">
        <v>6859</v>
      </c>
      <c r="K54" s="5">
        <v>-269</v>
      </c>
      <c r="L54" s="10">
        <v>6590</v>
      </c>
      <c r="M54" s="5">
        <v>5584</v>
      </c>
      <c r="N54" s="5">
        <v>1006</v>
      </c>
      <c r="O54" s="10">
        <f t="shared" si="0"/>
        <v>473</v>
      </c>
      <c r="P54" s="97">
        <f t="shared" si="1"/>
        <v>2.451031194942481E-2</v>
      </c>
      <c r="Q54" s="101" t="str">
        <f t="shared" si="5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4"/>
        <v xml:space="preserve"> </v>
      </c>
    </row>
    <row r="55" spans="1:22" hidden="1" x14ac:dyDescent="0.2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ref="O55:O73" si="6">K55+H55+E55</f>
        <v>0</v>
      </c>
      <c r="P55" s="97">
        <f t="shared" ref="P55:P73" si="7">O55/(J55+G55+D55+1)</f>
        <v>0</v>
      </c>
      <c r="Q55" s="101" t="str">
        <f t="shared" si="5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">
      <c r="A56" s="42"/>
      <c r="B56" s="77"/>
      <c r="C56" s="10"/>
      <c r="D56" s="5"/>
      <c r="E56" s="6"/>
      <c r="F56" s="10"/>
      <c r="G56" s="5"/>
      <c r="H56" s="6"/>
      <c r="I56" s="10"/>
      <c r="J56" s="5"/>
      <c r="K56" s="6"/>
      <c r="L56" s="10"/>
      <c r="M56" s="5"/>
      <c r="N56" s="6"/>
      <c r="O56" s="10">
        <f t="shared" si="6"/>
        <v>0</v>
      </c>
      <c r="P56" s="97">
        <f t="shared" si="7"/>
        <v>0</v>
      </c>
      <c r="Q56" s="101" t="str">
        <f t="shared" si="5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">
      <c r="A57" s="42"/>
      <c r="B57" s="77"/>
      <c r="C57" s="15">
        <v>36639</v>
      </c>
      <c r="D57" s="5"/>
      <c r="E57" s="5"/>
      <c r="F57" s="15">
        <v>36640</v>
      </c>
      <c r="G57" s="5"/>
      <c r="H57" s="5"/>
      <c r="I57" s="15">
        <v>36641</v>
      </c>
      <c r="J57" s="5"/>
      <c r="K57" s="5"/>
      <c r="L57" s="15">
        <v>36642</v>
      </c>
      <c r="M57" s="5"/>
      <c r="N57" s="5"/>
      <c r="O57" s="10">
        <f t="shared" si="6"/>
        <v>0</v>
      </c>
      <c r="P57" s="97">
        <f t="shared" si="7"/>
        <v>0</v>
      </c>
      <c r="Q57" s="101" t="str">
        <f t="shared" si="5"/>
        <v xml:space="preserve"> </v>
      </c>
      <c r="R57" s="91" t="str">
        <f>IF($C$4="High Inventory",IF(AND(O57&gt;=Summary!$C$106,P57&gt;=Summary!$C$107),"X"," "),IF(AND(O57&lt;=-Summary!$C$106,P57&lt;=-Summary!$C$107),"X"," "))</f>
        <v xml:space="preserve"> </v>
      </c>
      <c r="S57" s="21" t="str">
        <f>IF(AND(L57-I57&gt;=Summary!$C$110,N57-K57&gt;Summary!$C$110,N57&gt;0),"X"," ")</f>
        <v xml:space="preserve"> </v>
      </c>
      <c r="T57" s="17" t="str">
        <f>IF($C$4="High Inventory",IF(AND($O57&gt;=Summary!$C$106,$P57&gt;=0%),"X"," "),IF(AND($O57&lt;=-Summary!$C$106,$P57&lt;=0%),"X"," "))</f>
        <v xml:space="preserve"> </v>
      </c>
      <c r="U57" s="21" t="str">
        <f>IF($C$4="High Inventory",IF(AND($O57&gt;=0,$P57&gt;=Summary!$C$107),"X"," "),IF(AND($O57&lt;=0,$P57&lt;=-Summary!$C$107),"X"," "))</f>
        <v xml:space="preserve"> </v>
      </c>
      <c r="V57" t="str">
        <f t="shared" si="4"/>
        <v xml:space="preserve"> </v>
      </c>
    </row>
    <row r="58" spans="1:22" hidden="1" x14ac:dyDescent="0.2">
      <c r="A58" s="42" t="s">
        <v>6</v>
      </c>
      <c r="B58" s="77" t="s">
        <v>7</v>
      </c>
      <c r="C58" s="10" t="s">
        <v>37</v>
      </c>
      <c r="D58" s="5" t="s">
        <v>40</v>
      </c>
      <c r="E58" s="5" t="s">
        <v>41</v>
      </c>
      <c r="F58" s="10" t="s">
        <v>37</v>
      </c>
      <c r="G58" s="5" t="s">
        <v>40</v>
      </c>
      <c r="H58" s="5" t="s">
        <v>41</v>
      </c>
      <c r="I58" s="10" t="s">
        <v>37</v>
      </c>
      <c r="J58" s="5" t="s">
        <v>40</v>
      </c>
      <c r="K58" s="5" t="s">
        <v>41</v>
      </c>
      <c r="L58" s="10" t="s">
        <v>37</v>
      </c>
      <c r="M58" s="5" t="s">
        <v>40</v>
      </c>
      <c r="N58" s="5" t="s">
        <v>41</v>
      </c>
      <c r="O58" s="10" t="e">
        <f t="shared" si="6"/>
        <v>#VALUE!</v>
      </c>
      <c r="P58" s="97" t="e">
        <f t="shared" si="7"/>
        <v>#VALUE!</v>
      </c>
      <c r="Q58" s="101" t="str">
        <f t="shared" si="5"/>
        <v xml:space="preserve"> </v>
      </c>
      <c r="R58" s="91" t="e">
        <f>IF($C$4="High Inventory",IF(AND(O58&gt;=Summary!$C$106,P58&gt;=Summary!$C$107),"X"," "),IF(AND(O58&lt;=-Summary!$C$106,P58&lt;=-Summary!$C$107),"X"," "))</f>
        <v>#VALUE!</v>
      </c>
      <c r="S58" s="21" t="e">
        <f>IF(AND(L58-I58&gt;=Summary!$C$110,N58-K58&gt;Summary!$C$110,N58&gt;0),"X"," ")</f>
        <v>#VALUE!</v>
      </c>
      <c r="T58" s="17" t="e">
        <f>IF($C$4="High Inventory",IF(AND($O58&gt;=Summary!$C$106,$P58&gt;=0%),"X"," "),IF(AND($O58&lt;=-Summary!$C$106,$P58&lt;=0%),"X"," "))</f>
        <v>#VALUE!</v>
      </c>
      <c r="U58" s="21" t="e">
        <f>IF($C$4="High Inventory",IF(AND($O58&gt;=0,$P58&gt;=Summary!$C$107),"X"," "),IF(AND($O58&lt;=0,$P58&lt;=-Summary!$C$107),"X"," "))</f>
        <v>#VALUE!</v>
      </c>
      <c r="V58" t="e">
        <f t="shared" si="4"/>
        <v>#VALUE!</v>
      </c>
    </row>
    <row r="59" spans="1:22" x14ac:dyDescent="0.2">
      <c r="A59" s="42">
        <v>51</v>
      </c>
      <c r="B59" s="77" t="s">
        <v>17</v>
      </c>
      <c r="C59" s="10">
        <v>14251</v>
      </c>
      <c r="D59" s="5">
        <v>8220</v>
      </c>
      <c r="E59" s="5">
        <v>6031</v>
      </c>
      <c r="F59" s="10">
        <v>14251</v>
      </c>
      <c r="G59" s="5">
        <v>10938</v>
      </c>
      <c r="H59" s="5">
        <v>3313</v>
      </c>
      <c r="I59" s="10">
        <v>18932</v>
      </c>
      <c r="J59" s="5">
        <v>11403</v>
      </c>
      <c r="K59" s="5">
        <v>7529</v>
      </c>
      <c r="L59" s="10">
        <v>18932</v>
      </c>
      <c r="M59" s="5">
        <v>11071</v>
      </c>
      <c r="N59" s="5">
        <v>7861</v>
      </c>
      <c r="O59" s="10">
        <f t="shared" si="6"/>
        <v>16873</v>
      </c>
      <c r="P59" s="97">
        <f t="shared" si="7"/>
        <v>0.5520908317518487</v>
      </c>
      <c r="Q59" s="101" t="str">
        <f t="shared" si="5"/>
        <v xml:space="preserve"> </v>
      </c>
      <c r="R59" s="91" t="str">
        <f>IF($C$4="High Inventory",IF(AND(O59&gt;=Summary!$C$106,P59&gt;=Summary!$C$107),"X"," "),IF(AND(O59&lt;=-Summary!$C$106,P59&lt;=-Summary!$C$107),"X"," "))</f>
        <v>X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>X</v>
      </c>
      <c r="U59" s="21" t="str">
        <f>IF($C$4="High Inventory",IF(AND($O59&gt;=0,$P59&gt;=Summary!$C$107),"X"," "),IF(AND($O59&lt;=0,$P59&lt;=-Summary!$C$107),"X"," "))</f>
        <v>X</v>
      </c>
      <c r="V59" t="str">
        <f t="shared" si="4"/>
        <v xml:space="preserve"> </v>
      </c>
    </row>
    <row r="60" spans="1:22" x14ac:dyDescent="0.2">
      <c r="A60" s="42">
        <v>117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si="6"/>
        <v>0</v>
      </c>
      <c r="P60" s="97">
        <f t="shared" si="7"/>
        <v>0</v>
      </c>
      <c r="Q60" s="101" t="str">
        <f t="shared" si="5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">
      <c r="A61" s="42">
        <v>127</v>
      </c>
      <c r="B61" s="77" t="s">
        <v>17</v>
      </c>
      <c r="C61" s="10">
        <v>0</v>
      </c>
      <c r="D61" s="5">
        <v>6</v>
      </c>
      <c r="E61" s="5">
        <v>-6</v>
      </c>
      <c r="F61" s="10">
        <v>0</v>
      </c>
      <c r="G61" s="5">
        <v>7</v>
      </c>
      <c r="H61" s="5">
        <v>-7</v>
      </c>
      <c r="I61" s="10">
        <v>0</v>
      </c>
      <c r="J61" s="5">
        <v>7</v>
      </c>
      <c r="K61" s="5">
        <v>-7</v>
      </c>
      <c r="L61" s="10">
        <v>0</v>
      </c>
      <c r="M61" s="5">
        <v>6</v>
      </c>
      <c r="N61" s="5">
        <v>-6</v>
      </c>
      <c r="O61" s="10">
        <f t="shared" si="6"/>
        <v>-20</v>
      </c>
      <c r="P61" s="97">
        <f t="shared" si="7"/>
        <v>-0.95238095238095233</v>
      </c>
      <c r="Q61" s="101" t="str">
        <f t="shared" si="5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">
      <c r="A62" s="42">
        <v>128</v>
      </c>
      <c r="B62" s="77" t="s">
        <v>17</v>
      </c>
      <c r="C62" s="10">
        <v>0</v>
      </c>
      <c r="D62" s="5">
        <v>0</v>
      </c>
      <c r="E62" s="5">
        <v>0</v>
      </c>
      <c r="F62" s="10">
        <v>0</v>
      </c>
      <c r="G62" s="5">
        <v>0</v>
      </c>
      <c r="H62" s="5">
        <v>0</v>
      </c>
      <c r="I62" s="10">
        <v>0</v>
      </c>
      <c r="J62" s="5">
        <v>0</v>
      </c>
      <c r="K62" s="5">
        <v>0</v>
      </c>
      <c r="L62" s="10">
        <v>0</v>
      </c>
      <c r="M62" s="5">
        <v>0</v>
      </c>
      <c r="N62" s="5">
        <v>0</v>
      </c>
      <c r="O62" s="10">
        <f t="shared" si="6"/>
        <v>0</v>
      </c>
      <c r="P62" s="97">
        <f t="shared" si="7"/>
        <v>0</v>
      </c>
      <c r="Q62" s="101" t="str">
        <f t="shared" si="5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">
      <c r="A63" s="42">
        <v>129</v>
      </c>
      <c r="B63" s="77" t="s">
        <v>17</v>
      </c>
      <c r="C63" s="10">
        <v>0</v>
      </c>
      <c r="D63" s="5">
        <v>0</v>
      </c>
      <c r="E63" s="5">
        <v>0</v>
      </c>
      <c r="F63" s="10">
        <v>0</v>
      </c>
      <c r="G63" s="5">
        <v>0</v>
      </c>
      <c r="H63" s="5">
        <v>0</v>
      </c>
      <c r="I63" s="10">
        <v>0</v>
      </c>
      <c r="J63" s="5">
        <v>0</v>
      </c>
      <c r="K63" s="5">
        <v>0</v>
      </c>
      <c r="L63" s="10">
        <v>0</v>
      </c>
      <c r="M63" s="5">
        <v>0</v>
      </c>
      <c r="N63" s="5">
        <v>0</v>
      </c>
      <c r="O63" s="10">
        <f t="shared" si="6"/>
        <v>0</v>
      </c>
      <c r="P63" s="97">
        <f t="shared" si="7"/>
        <v>0</v>
      </c>
      <c r="Q63" s="101" t="str">
        <f t="shared" si="5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">
      <c r="A64" s="42">
        <v>132</v>
      </c>
      <c r="B64" s="77" t="s">
        <v>17</v>
      </c>
      <c r="C64" s="10">
        <v>0</v>
      </c>
      <c r="D64" s="5">
        <v>0</v>
      </c>
      <c r="E64" s="5">
        <v>0</v>
      </c>
      <c r="F64" s="10">
        <v>0</v>
      </c>
      <c r="G64" s="5">
        <v>147</v>
      </c>
      <c r="H64" s="5">
        <v>-147</v>
      </c>
      <c r="I64" s="10">
        <v>0</v>
      </c>
      <c r="J64" s="5">
        <v>193</v>
      </c>
      <c r="K64" s="5">
        <v>-193</v>
      </c>
      <c r="L64" s="10">
        <v>0</v>
      </c>
      <c r="M64" s="5">
        <v>200</v>
      </c>
      <c r="N64" s="5">
        <v>-200</v>
      </c>
      <c r="O64" s="10">
        <f t="shared" si="6"/>
        <v>-340</v>
      </c>
      <c r="P64" s="97">
        <f t="shared" si="7"/>
        <v>-0.99706744868035191</v>
      </c>
      <c r="Q64" s="101" t="str">
        <f t="shared" si="5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">
      <c r="A65" s="42">
        <v>133</v>
      </c>
      <c r="B65" s="77" t="s">
        <v>17</v>
      </c>
      <c r="C65" s="10">
        <v>0</v>
      </c>
      <c r="D65" s="5">
        <v>0</v>
      </c>
      <c r="E65" s="5">
        <v>0</v>
      </c>
      <c r="F65" s="10">
        <v>0</v>
      </c>
      <c r="G65" s="5">
        <v>0</v>
      </c>
      <c r="H65" s="5">
        <v>0</v>
      </c>
      <c r="I65" s="10">
        <v>0</v>
      </c>
      <c r="J65" s="5">
        <v>0</v>
      </c>
      <c r="K65" s="5">
        <v>0</v>
      </c>
      <c r="L65" s="10">
        <v>0</v>
      </c>
      <c r="M65" s="5">
        <v>0</v>
      </c>
      <c r="N65" s="5">
        <v>0</v>
      </c>
      <c r="O65" s="10">
        <f t="shared" si="6"/>
        <v>0</v>
      </c>
      <c r="P65" s="97">
        <f t="shared" si="7"/>
        <v>0</v>
      </c>
      <c r="Q65" s="101" t="str">
        <f t="shared" si="5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">
      <c r="A66" s="42">
        <v>194</v>
      </c>
      <c r="B66" s="77" t="s">
        <v>17</v>
      </c>
      <c r="C66" s="10">
        <v>0</v>
      </c>
      <c r="D66" s="5">
        <v>0</v>
      </c>
      <c r="E66" s="5">
        <v>0</v>
      </c>
      <c r="F66" s="10">
        <v>0</v>
      </c>
      <c r="G66" s="5">
        <v>0</v>
      </c>
      <c r="H66" s="5">
        <v>0</v>
      </c>
      <c r="I66" s="10">
        <v>0</v>
      </c>
      <c r="J66" s="5">
        <v>0</v>
      </c>
      <c r="K66" s="5">
        <v>0</v>
      </c>
      <c r="L66" s="10">
        <v>0</v>
      </c>
      <c r="M66" s="5">
        <v>0</v>
      </c>
      <c r="N66" s="5">
        <v>0</v>
      </c>
      <c r="O66" s="10">
        <f t="shared" si="6"/>
        <v>0</v>
      </c>
      <c r="P66" s="97">
        <f t="shared" si="7"/>
        <v>0</v>
      </c>
      <c r="Q66" s="101" t="str">
        <f t="shared" si="5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4"/>
        <v xml:space="preserve"> </v>
      </c>
    </row>
    <row r="67" spans="1:22" x14ac:dyDescent="0.2">
      <c r="A67" s="42">
        <v>195</v>
      </c>
      <c r="B67" s="77" t="s">
        <v>17</v>
      </c>
      <c r="C67" s="10">
        <v>0</v>
      </c>
      <c r="D67" s="5">
        <v>0</v>
      </c>
      <c r="E67" s="5">
        <v>0</v>
      </c>
      <c r="F67" s="10">
        <v>0</v>
      </c>
      <c r="G67" s="5">
        <v>0</v>
      </c>
      <c r="H67" s="5">
        <v>0</v>
      </c>
      <c r="I67" s="10">
        <v>0</v>
      </c>
      <c r="J67" s="5">
        <v>0</v>
      </c>
      <c r="K67" s="5">
        <v>0</v>
      </c>
      <c r="L67" s="10">
        <v>0</v>
      </c>
      <c r="M67" s="5">
        <v>0</v>
      </c>
      <c r="N67" s="5">
        <v>0</v>
      </c>
      <c r="O67" s="10">
        <f t="shared" si="6"/>
        <v>0</v>
      </c>
      <c r="P67" s="97">
        <f t="shared" si="7"/>
        <v>0</v>
      </c>
      <c r="Q67" s="101" t="str">
        <f t="shared" si="5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">
      <c r="A68" s="42">
        <v>196</v>
      </c>
      <c r="B68" s="77" t="s">
        <v>17</v>
      </c>
      <c r="C68" s="10">
        <v>0</v>
      </c>
      <c r="D68" s="5">
        <v>0</v>
      </c>
      <c r="E68" s="5">
        <v>0</v>
      </c>
      <c r="F68" s="10">
        <v>0</v>
      </c>
      <c r="G68" s="5">
        <v>0</v>
      </c>
      <c r="H68" s="5">
        <v>0</v>
      </c>
      <c r="I68" s="10">
        <v>0</v>
      </c>
      <c r="J68" s="5">
        <v>0</v>
      </c>
      <c r="K68" s="5">
        <v>0</v>
      </c>
      <c r="L68" s="10">
        <v>0</v>
      </c>
      <c r="M68" s="5">
        <v>0</v>
      </c>
      <c r="N68" s="5">
        <v>0</v>
      </c>
      <c r="O68" s="10">
        <f t="shared" si="6"/>
        <v>0</v>
      </c>
      <c r="P68" s="97">
        <f t="shared" si="7"/>
        <v>0</v>
      </c>
      <c r="Q68" s="101" t="str">
        <f t="shared" si="5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">
      <c r="A69" s="42">
        <v>197</v>
      </c>
      <c r="B69" s="77" t="s">
        <v>17</v>
      </c>
      <c r="C69" s="10">
        <v>0</v>
      </c>
      <c r="D69" s="5">
        <v>0</v>
      </c>
      <c r="E69" s="5">
        <v>0</v>
      </c>
      <c r="F69" s="10">
        <v>0</v>
      </c>
      <c r="G69" s="5">
        <v>0</v>
      </c>
      <c r="H69" s="5">
        <v>0</v>
      </c>
      <c r="I69" s="10">
        <v>0</v>
      </c>
      <c r="J69" s="5">
        <v>0</v>
      </c>
      <c r="K69" s="5">
        <v>0</v>
      </c>
      <c r="L69" s="10">
        <v>0</v>
      </c>
      <c r="M69" s="5">
        <v>7</v>
      </c>
      <c r="N69" s="5">
        <v>-7</v>
      </c>
      <c r="O69" s="10">
        <f t="shared" si="6"/>
        <v>0</v>
      </c>
      <c r="P69" s="97">
        <f t="shared" si="7"/>
        <v>0</v>
      </c>
      <c r="Q69" s="101" t="str">
        <f t="shared" si="5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">
      <c r="A70" s="42">
        <v>282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 t="shared" si="6"/>
        <v>0</v>
      </c>
      <c r="P70" s="97">
        <f t="shared" si="7"/>
        <v>0</v>
      </c>
      <c r="Q70" s="101" t="str">
        <f t="shared" si="5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">
      <c r="A71" s="42">
        <v>289</v>
      </c>
      <c r="B71" s="77" t="s">
        <v>17</v>
      </c>
      <c r="C71" s="10">
        <v>0</v>
      </c>
      <c r="D71" s="5">
        <v>0</v>
      </c>
      <c r="E71" s="5">
        <v>0</v>
      </c>
      <c r="F71" s="10">
        <v>0</v>
      </c>
      <c r="G71" s="5">
        <v>0</v>
      </c>
      <c r="H71" s="5">
        <v>0</v>
      </c>
      <c r="I71" s="10">
        <v>0</v>
      </c>
      <c r="J71" s="5">
        <v>0</v>
      </c>
      <c r="K71" s="5">
        <v>0</v>
      </c>
      <c r="L71" s="10">
        <v>0</v>
      </c>
      <c r="M71" s="5">
        <v>0</v>
      </c>
      <c r="N71" s="5">
        <v>0</v>
      </c>
      <c r="O71" s="10">
        <f t="shared" si="6"/>
        <v>0</v>
      </c>
      <c r="P71" s="97">
        <f t="shared" si="7"/>
        <v>0</v>
      </c>
      <c r="Q71" s="101" t="str">
        <f t="shared" si="5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">
      <c r="A72" s="42">
        <v>476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 t="shared" si="6"/>
        <v>0</v>
      </c>
      <c r="P72" s="97">
        <f t="shared" si="7"/>
        <v>0</v>
      </c>
      <c r="Q72" s="101" t="str">
        <f t="shared" si="5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">
      <c r="A73" s="42">
        <v>512</v>
      </c>
      <c r="B73" s="77" t="s">
        <v>17</v>
      </c>
      <c r="C73" s="10">
        <v>800</v>
      </c>
      <c r="D73" s="5">
        <v>2164</v>
      </c>
      <c r="E73" s="5">
        <v>-1364</v>
      </c>
      <c r="F73" s="10">
        <v>800</v>
      </c>
      <c r="G73" s="5">
        <v>2798</v>
      </c>
      <c r="H73" s="5">
        <v>-1998</v>
      </c>
      <c r="I73" s="10">
        <v>2300</v>
      </c>
      <c r="J73" s="5">
        <v>2384</v>
      </c>
      <c r="K73" s="5">
        <v>-84</v>
      </c>
      <c r="L73" s="10">
        <v>2800</v>
      </c>
      <c r="M73" s="5">
        <v>2789</v>
      </c>
      <c r="N73" s="5">
        <v>11</v>
      </c>
      <c r="O73" s="10">
        <f t="shared" si="6"/>
        <v>-3446</v>
      </c>
      <c r="P73" s="97">
        <f t="shared" si="7"/>
        <v>-0.46903498026405338</v>
      </c>
      <c r="Q73" s="101" t="str">
        <f t="shared" si="5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4"/>
        <v xml:space="preserve"> </v>
      </c>
    </row>
    <row r="74" spans="1:22" x14ac:dyDescent="0.2">
      <c r="A74" s="42">
        <v>757</v>
      </c>
      <c r="B74" s="77" t="s">
        <v>17</v>
      </c>
      <c r="C74" s="10">
        <v>0</v>
      </c>
      <c r="D74" s="5">
        <v>536</v>
      </c>
      <c r="E74" s="5">
        <v>-536</v>
      </c>
      <c r="F74" s="10">
        <v>0</v>
      </c>
      <c r="G74" s="5">
        <v>539</v>
      </c>
      <c r="H74" s="5">
        <v>-539</v>
      </c>
      <c r="I74" s="10">
        <v>0</v>
      </c>
      <c r="J74" s="5">
        <v>517</v>
      </c>
      <c r="K74" s="5">
        <v>-517</v>
      </c>
      <c r="L74" s="10">
        <v>0</v>
      </c>
      <c r="M74" s="5">
        <v>572</v>
      </c>
      <c r="N74" s="5">
        <v>-572</v>
      </c>
      <c r="O74" s="10">
        <f t="shared" ref="O74:O94" si="8">K74+H74+E74</f>
        <v>-1592</v>
      </c>
      <c r="P74" s="97">
        <f t="shared" ref="P74:P94" si="9">O74/(J74+G74+D74+1)</f>
        <v>-0.99937225360954174</v>
      </c>
      <c r="Q74" s="101" t="str">
        <f t="shared" si="5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96" si="10">IF(S74 = "X",L74-I74," ")</f>
        <v xml:space="preserve"> </v>
      </c>
    </row>
    <row r="75" spans="1:22" x14ac:dyDescent="0.2">
      <c r="A75" s="42">
        <v>761</v>
      </c>
      <c r="B75" s="77" t="s">
        <v>17</v>
      </c>
      <c r="C75" s="10">
        <v>0</v>
      </c>
      <c r="D75" s="5">
        <v>8</v>
      </c>
      <c r="E75" s="5">
        <v>-8</v>
      </c>
      <c r="F75" s="10">
        <v>0</v>
      </c>
      <c r="G75" s="5">
        <v>8</v>
      </c>
      <c r="H75" s="5">
        <v>-8</v>
      </c>
      <c r="I75" s="10">
        <v>0</v>
      </c>
      <c r="J75" s="5">
        <v>8</v>
      </c>
      <c r="K75" s="5">
        <v>-8</v>
      </c>
      <c r="L75" s="10">
        <v>0</v>
      </c>
      <c r="M75" s="5">
        <v>8</v>
      </c>
      <c r="N75" s="5">
        <v>-8</v>
      </c>
      <c r="O75" s="10">
        <f>K75+H75+E75</f>
        <v>-24</v>
      </c>
      <c r="P75" s="97">
        <f>O75/(J75+G75+D75+1)</f>
        <v>-0.96</v>
      </c>
      <c r="Q75" s="101" t="str">
        <f t="shared" si="5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">
      <c r="A76" s="42">
        <v>764</v>
      </c>
      <c r="B76" s="77" t="s">
        <v>17</v>
      </c>
      <c r="C76" s="10">
        <v>196</v>
      </c>
      <c r="D76" s="5">
        <v>203</v>
      </c>
      <c r="E76" s="5">
        <v>-7</v>
      </c>
      <c r="F76" s="10">
        <v>196</v>
      </c>
      <c r="G76" s="5">
        <v>222</v>
      </c>
      <c r="H76" s="5">
        <v>-26</v>
      </c>
      <c r="I76" s="10">
        <v>196</v>
      </c>
      <c r="J76" s="5">
        <v>227</v>
      </c>
      <c r="K76" s="5">
        <v>-31</v>
      </c>
      <c r="L76" s="10">
        <v>196</v>
      </c>
      <c r="M76" s="5">
        <v>225</v>
      </c>
      <c r="N76" s="5">
        <v>-29</v>
      </c>
      <c r="O76" s="10">
        <f t="shared" si="8"/>
        <v>-64</v>
      </c>
      <c r="P76" s="97">
        <f t="shared" si="9"/>
        <v>-9.8009188361408886E-2</v>
      </c>
      <c r="Q76" s="101" t="str">
        <f t="shared" si="5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0"/>
        <v xml:space="preserve"> </v>
      </c>
    </row>
    <row r="77" spans="1:22" x14ac:dyDescent="0.2">
      <c r="A77" s="42">
        <v>765</v>
      </c>
      <c r="B77" s="77" t="s">
        <v>17</v>
      </c>
      <c r="C77" s="10">
        <v>7271</v>
      </c>
      <c r="D77" s="5">
        <v>7271</v>
      </c>
      <c r="E77" s="5">
        <v>0</v>
      </c>
      <c r="F77" s="10">
        <v>7271</v>
      </c>
      <c r="G77" s="5">
        <v>7593</v>
      </c>
      <c r="H77" s="5">
        <v>-322</v>
      </c>
      <c r="I77" s="10">
        <v>7271</v>
      </c>
      <c r="J77" s="5">
        <v>7495</v>
      </c>
      <c r="K77" s="5">
        <v>-224</v>
      </c>
      <c r="L77" s="10">
        <v>7271</v>
      </c>
      <c r="M77" s="5">
        <v>7457</v>
      </c>
      <c r="N77" s="5">
        <v>-186</v>
      </c>
      <c r="O77" s="10">
        <f t="shared" si="8"/>
        <v>-546</v>
      </c>
      <c r="P77" s="97">
        <f t="shared" si="9"/>
        <v>-2.441860465116279E-2</v>
      </c>
      <c r="Q77" s="101" t="str">
        <f t="shared" si="5"/>
        <v xml:space="preserve"> </v>
      </c>
      <c r="R77" s="91" t="str">
        <f>IF($C$4="High Inventory",IF(AND(O77&gt;=Summary!$C$106,P77&gt;=Summary!$C$107),"X"," "),IF(AND(O77&lt;=-Summary!$C$106,P77&lt;=-Summary!$C$107),"X"," "))</f>
        <v xml:space="preserve"> 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 xml:space="preserve"> </v>
      </c>
      <c r="U77" s="21" t="str">
        <f>IF($C$4="High Inventory",IF(AND($O77&gt;=0,$P77&gt;=Summary!$C$107),"X"," "),IF(AND($O77&lt;=0,$P77&lt;=-Summary!$C$107),"X"," "))</f>
        <v xml:space="preserve"> </v>
      </c>
      <c r="V77" t="str">
        <f t="shared" si="10"/>
        <v xml:space="preserve"> </v>
      </c>
    </row>
    <row r="78" spans="1:22" x14ac:dyDescent="0.2">
      <c r="A78" s="42">
        <v>779</v>
      </c>
      <c r="B78" s="77" t="s">
        <v>17</v>
      </c>
      <c r="C78" s="10">
        <v>800</v>
      </c>
      <c r="D78" s="5">
        <v>0</v>
      </c>
      <c r="E78" s="5">
        <v>800</v>
      </c>
      <c r="F78" s="10">
        <v>800</v>
      </c>
      <c r="G78" s="5">
        <v>606</v>
      </c>
      <c r="H78" s="5">
        <v>194</v>
      </c>
      <c r="I78" s="10">
        <v>800</v>
      </c>
      <c r="J78" s="5">
        <v>1317</v>
      </c>
      <c r="K78" s="5">
        <v>-517</v>
      </c>
      <c r="L78" s="10">
        <v>800</v>
      </c>
      <c r="M78" s="5">
        <v>1234</v>
      </c>
      <c r="N78" s="5">
        <v>-434</v>
      </c>
      <c r="O78" s="10">
        <f>K78+H78+E78</f>
        <v>477</v>
      </c>
      <c r="P78" s="97">
        <f>O78/(J78+G78+D78+1)</f>
        <v>0.24792099792099792</v>
      </c>
      <c r="Q78" s="101" t="str">
        <f t="shared" si="5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>X</v>
      </c>
      <c r="V78" t="str">
        <f t="shared" si="10"/>
        <v xml:space="preserve"> </v>
      </c>
    </row>
    <row r="79" spans="1:22" x14ac:dyDescent="0.2">
      <c r="A79" s="42">
        <v>899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>K79+H79+E79</f>
        <v>0</v>
      </c>
      <c r="P79" s="97">
        <f>O79/(J79+G79+D79+1)</f>
        <v>0</v>
      </c>
      <c r="Q79" s="101" t="str">
        <f t="shared" si="5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">
      <c r="A80" s="42">
        <v>928</v>
      </c>
      <c r="B80" s="77" t="s">
        <v>17</v>
      </c>
      <c r="C80" s="10">
        <v>190</v>
      </c>
      <c r="D80" s="5">
        <v>200</v>
      </c>
      <c r="E80" s="5">
        <v>-10</v>
      </c>
      <c r="F80" s="10">
        <v>190</v>
      </c>
      <c r="G80" s="5">
        <v>198</v>
      </c>
      <c r="H80" s="5">
        <v>-8</v>
      </c>
      <c r="I80" s="10">
        <v>190</v>
      </c>
      <c r="J80" s="5">
        <v>197</v>
      </c>
      <c r="K80" s="5">
        <v>-7</v>
      </c>
      <c r="L80" s="10">
        <v>190</v>
      </c>
      <c r="M80" s="5">
        <v>196</v>
      </c>
      <c r="N80" s="5">
        <v>-6</v>
      </c>
      <c r="O80" s="10">
        <f>K80+H80+E80</f>
        <v>-25</v>
      </c>
      <c r="P80" s="97">
        <f>O80/(J80+G80+D80+1)</f>
        <v>-4.1946308724832217E-2</v>
      </c>
      <c r="Q80" s="101" t="str">
        <f t="shared" si="5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">
      <c r="A81" s="42">
        <v>997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8"/>
        <v>0</v>
      </c>
      <c r="P81" s="97">
        <f t="shared" si="9"/>
        <v>0</v>
      </c>
      <c r="Q81" s="101" t="str">
        <f t="shared" si="5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">
      <c r="A82" s="42">
        <v>5342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>K82+H82+E82</f>
        <v>0</v>
      </c>
      <c r="P82" s="97">
        <f>O82/(J82+G82+D82+1)</f>
        <v>0</v>
      </c>
      <c r="Q82" s="101" t="str">
        <f t="shared" si="5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0"/>
        <v xml:space="preserve"> </v>
      </c>
    </row>
    <row r="83" spans="1:22" x14ac:dyDescent="0.2">
      <c r="A83" s="42">
        <v>5379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>K83+H83+E83</f>
        <v>0</v>
      </c>
      <c r="P83" s="97">
        <f>O83/(J83+G83+D83+1)</f>
        <v>0</v>
      </c>
      <c r="Q83" s="101" t="str">
        <f t="shared" si="5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">
      <c r="A84" s="42">
        <v>7088</v>
      </c>
      <c r="B84" s="77" t="s">
        <v>17</v>
      </c>
      <c r="C84" s="10">
        <v>0</v>
      </c>
      <c r="D84" s="5">
        <v>40</v>
      </c>
      <c r="E84" s="5">
        <v>-40</v>
      </c>
      <c r="F84" s="10">
        <v>0</v>
      </c>
      <c r="G84" s="5">
        <v>49</v>
      </c>
      <c r="H84" s="5">
        <v>-49</v>
      </c>
      <c r="I84" s="10">
        <v>0</v>
      </c>
      <c r="J84" s="5">
        <v>45</v>
      </c>
      <c r="K84" s="5">
        <v>-45</v>
      </c>
      <c r="L84" s="10">
        <v>0</v>
      </c>
      <c r="M84" s="5">
        <v>31</v>
      </c>
      <c r="N84" s="5">
        <v>-31</v>
      </c>
      <c r="O84" s="10">
        <f t="shared" si="8"/>
        <v>-134</v>
      </c>
      <c r="P84" s="97">
        <f t="shared" si="9"/>
        <v>-0.99259259259259258</v>
      </c>
      <c r="Q84" s="101" t="str">
        <f t="shared" si="5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0"/>
        <v xml:space="preserve"> </v>
      </c>
    </row>
    <row r="85" spans="1:22" x14ac:dyDescent="0.2">
      <c r="A85" s="42">
        <v>7602</v>
      </c>
      <c r="B85" s="77" t="s">
        <v>17</v>
      </c>
      <c r="C85" s="10">
        <v>42854</v>
      </c>
      <c r="D85" s="5">
        <v>28670</v>
      </c>
      <c r="E85" s="5">
        <v>14184</v>
      </c>
      <c r="F85" s="10">
        <v>42854</v>
      </c>
      <c r="G85" s="5">
        <v>31503</v>
      </c>
      <c r="H85" s="5">
        <v>11351</v>
      </c>
      <c r="I85" s="10">
        <v>49709</v>
      </c>
      <c r="J85" s="5">
        <v>33398</v>
      </c>
      <c r="K85" s="5">
        <v>16311</v>
      </c>
      <c r="L85" s="10">
        <v>32974</v>
      </c>
      <c r="M85" s="5">
        <v>39130</v>
      </c>
      <c r="N85" s="5">
        <v>-6156</v>
      </c>
      <c r="O85" s="10">
        <f t="shared" si="8"/>
        <v>41846</v>
      </c>
      <c r="P85" s="97">
        <f t="shared" si="9"/>
        <v>0.44720642927371435</v>
      </c>
      <c r="Q85" s="17" t="s">
        <v>44</v>
      </c>
      <c r="R85" s="91" t="str">
        <f>IF($C$4="High Inventory",IF(AND(O85&gt;=Summary!$C$106,P85&gt;=Summary!$C$107),"X"," "),IF(AND(O85&lt;=-Summary!$C$106,P85&lt;=-Summary!$C$107),"X"," "))</f>
        <v>X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>X</v>
      </c>
      <c r="U85" s="21" t="str">
        <f>IF($C$4="High Inventory",IF(AND($O85&gt;=0,$P85&gt;=Summary!$C$107),"X"," "),IF(AND($O85&lt;=0,$P85&lt;=-Summary!$C$107),"X"," "))</f>
        <v>X</v>
      </c>
      <c r="V85" t="str">
        <f t="shared" si="10"/>
        <v xml:space="preserve"> </v>
      </c>
    </row>
    <row r="86" spans="1:22" x14ac:dyDescent="0.2">
      <c r="A86" s="42">
        <v>7604</v>
      </c>
      <c r="B86" s="77" t="s">
        <v>17</v>
      </c>
      <c r="C86" s="10">
        <v>72827</v>
      </c>
      <c r="D86" s="5">
        <v>56389</v>
      </c>
      <c r="E86" s="5">
        <v>16438</v>
      </c>
      <c r="F86" s="10">
        <v>62977</v>
      </c>
      <c r="G86" s="5">
        <v>54461</v>
      </c>
      <c r="H86" s="5">
        <v>8516</v>
      </c>
      <c r="I86" s="10">
        <v>101457</v>
      </c>
      <c r="J86" s="5">
        <v>53961</v>
      </c>
      <c r="K86" s="5">
        <v>47496</v>
      </c>
      <c r="L86" s="10">
        <v>56827</v>
      </c>
      <c r="M86" s="5">
        <v>52954</v>
      </c>
      <c r="N86" s="5">
        <v>3873</v>
      </c>
      <c r="O86" s="10">
        <f t="shared" si="8"/>
        <v>72450</v>
      </c>
      <c r="P86" s="97">
        <f t="shared" si="9"/>
        <v>0.4395917772977696</v>
      </c>
      <c r="Q86" s="17" t="s">
        <v>44</v>
      </c>
      <c r="R86" s="91" t="str">
        <f>IF($C$4="High Inventory",IF(AND(O86&gt;=Summary!$C$106,P86&gt;=Summary!$C$107),"X"," "),IF(AND(O86&lt;=-Summary!$C$106,P86&lt;=-Summary!$C$107),"X"," "))</f>
        <v>X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>X</v>
      </c>
      <c r="U86" s="21" t="str">
        <f>IF($C$4="High Inventory",IF(AND($O86&gt;=0,$P86&gt;=Summary!$C$107),"X"," "),IF(AND($O86&lt;=0,$P86&lt;=-Summary!$C$107),"X"," "))</f>
        <v>X</v>
      </c>
      <c r="V86" t="str">
        <f t="shared" si="10"/>
        <v xml:space="preserve"> </v>
      </c>
    </row>
    <row r="87" spans="1:22" x14ac:dyDescent="0.2">
      <c r="A87" s="42">
        <v>8576</v>
      </c>
      <c r="B87" s="77" t="s">
        <v>17</v>
      </c>
      <c r="C87" s="10">
        <v>0</v>
      </c>
      <c r="D87" s="5">
        <v>0</v>
      </c>
      <c r="E87" s="5">
        <v>0</v>
      </c>
      <c r="F87" s="10">
        <v>0</v>
      </c>
      <c r="G87" s="5">
        <v>0</v>
      </c>
      <c r="H87" s="5">
        <v>0</v>
      </c>
      <c r="I87" s="10">
        <v>0</v>
      </c>
      <c r="J87" s="5">
        <v>0</v>
      </c>
      <c r="K87" s="5">
        <v>0</v>
      </c>
      <c r="L87" s="10">
        <v>0</v>
      </c>
      <c r="M87" s="5">
        <v>0</v>
      </c>
      <c r="N87" s="5">
        <v>0</v>
      </c>
      <c r="O87" s="10">
        <f t="shared" si="8"/>
        <v>0</v>
      </c>
      <c r="P87" s="97">
        <f t="shared" si="9"/>
        <v>0</v>
      </c>
      <c r="Q87" s="101" t="str">
        <f t="shared" ref="Q87:Q96" si="11">" "</f>
        <v xml:space="preserve"> </v>
      </c>
      <c r="R87" s="91" t="str">
        <f>IF($C$4="High Inventory",IF(AND(O87&gt;=Summary!$C$106,P87&gt;=Summary!$C$107),"X"," "),IF(AND(O87&lt;=-Summary!$C$106,P87&lt;=-Summary!$C$107),"X"," "))</f>
        <v xml:space="preserve"> </v>
      </c>
      <c r="S87" s="21" t="str">
        <f>IF(AND(L87-I87&gt;=Summary!$C$110,N87-K87&gt;Summary!$C$110,N87&gt;0),"X"," ")</f>
        <v xml:space="preserve"> </v>
      </c>
      <c r="T87" s="17" t="str">
        <f>IF($C$4="High Inventory",IF(AND($O87&gt;=Summary!$C$106,$P87&gt;=0%),"X"," "),IF(AND($O87&lt;=-Summary!$C$106,$P87&lt;=0%),"X"," "))</f>
        <v xml:space="preserve"> </v>
      </c>
      <c r="U87" s="21" t="str">
        <f>IF($C$4="High Inventory",IF(AND($O87&gt;=0,$P87&gt;=Summary!$C$107),"X"," "),IF(AND($O87&lt;=0,$P87&lt;=-Summary!$C$107),"X"," "))</f>
        <v xml:space="preserve"> </v>
      </c>
      <c r="V87" t="str">
        <f t="shared" si="10"/>
        <v xml:space="preserve"> </v>
      </c>
    </row>
    <row r="88" spans="1:22" x14ac:dyDescent="0.2">
      <c r="A88" s="42">
        <v>8577</v>
      </c>
      <c r="B88" s="77" t="s">
        <v>17</v>
      </c>
      <c r="C88" s="10">
        <v>0</v>
      </c>
      <c r="D88" s="5">
        <v>0</v>
      </c>
      <c r="E88" s="5">
        <v>0</v>
      </c>
      <c r="F88" s="10">
        <v>0</v>
      </c>
      <c r="G88" s="5">
        <v>0</v>
      </c>
      <c r="H88" s="5">
        <v>0</v>
      </c>
      <c r="I88" s="10">
        <v>0</v>
      </c>
      <c r="J88" s="5">
        <v>0</v>
      </c>
      <c r="K88" s="5">
        <v>0</v>
      </c>
      <c r="L88" s="10">
        <v>0</v>
      </c>
      <c r="M88" s="5">
        <v>0</v>
      </c>
      <c r="N88" s="5">
        <v>0</v>
      </c>
      <c r="O88" s="10">
        <f t="shared" si="8"/>
        <v>0</v>
      </c>
      <c r="P88" s="97">
        <f t="shared" si="9"/>
        <v>0</v>
      </c>
      <c r="Q88" s="101" t="str">
        <f t="shared" si="11"/>
        <v xml:space="preserve"> </v>
      </c>
      <c r="R88" s="91" t="str">
        <f>IF($C$4="High Inventory",IF(AND(O88&gt;=Summary!$C$106,P88&gt;=Summary!$C$107),"X"," "),IF(AND(O88&lt;=-Summary!$C$106,P88&lt;=-Summary!$C$107),"X"," "))</f>
        <v xml:space="preserve"> </v>
      </c>
      <c r="S88" s="21" t="str">
        <f>IF(AND(L88-I88&gt;=Summary!$C$110,N88-K88&gt;Summary!$C$110,N88&gt;0),"X"," ")</f>
        <v xml:space="preserve"> </v>
      </c>
      <c r="T88" s="17" t="str">
        <f>IF($C$4="High Inventory",IF(AND($O88&gt;=Summary!$C$106,$P88&gt;=0%),"X"," "),IF(AND($O88&lt;=-Summary!$C$106,$P88&lt;=0%),"X"," "))</f>
        <v xml:space="preserve"> </v>
      </c>
      <c r="U88" s="21" t="str">
        <f>IF($C$4="High Inventory",IF(AND($O88&gt;=0,$P88&gt;=Summary!$C$107),"X"," "),IF(AND($O88&lt;=0,$P88&lt;=-Summary!$C$107),"X"," "))</f>
        <v xml:space="preserve"> </v>
      </c>
      <c r="V88" t="str">
        <f t="shared" si="10"/>
        <v xml:space="preserve"> </v>
      </c>
    </row>
    <row r="89" spans="1:22" x14ac:dyDescent="0.2">
      <c r="A89" s="42">
        <v>8578</v>
      </c>
      <c r="B89" s="77" t="s">
        <v>17</v>
      </c>
      <c r="C89" s="10">
        <v>0</v>
      </c>
      <c r="D89" s="5">
        <v>0</v>
      </c>
      <c r="E89" s="5">
        <v>0</v>
      </c>
      <c r="F89" s="10">
        <v>0</v>
      </c>
      <c r="G89" s="5">
        <v>0</v>
      </c>
      <c r="H89" s="5">
        <v>0</v>
      </c>
      <c r="I89" s="10">
        <v>0</v>
      </c>
      <c r="J89" s="5">
        <v>0</v>
      </c>
      <c r="K89" s="5">
        <v>0</v>
      </c>
      <c r="L89" s="10">
        <v>0</v>
      </c>
      <c r="M89" s="5">
        <v>0</v>
      </c>
      <c r="N89" s="5">
        <v>0</v>
      </c>
      <c r="O89" s="10">
        <f t="shared" si="8"/>
        <v>0</v>
      </c>
      <c r="P89" s="97">
        <f t="shared" si="9"/>
        <v>0</v>
      </c>
      <c r="Q89" s="101" t="str">
        <f t="shared" si="11"/>
        <v xml:space="preserve"> </v>
      </c>
      <c r="R89" s="91" t="str">
        <f>IF($C$4="High Inventory",IF(AND(O89&gt;=Summary!$C$106,P89&gt;=Summary!$C$107),"X"," "),IF(AND(O89&lt;=-Summary!$C$106,P89&lt;=-Summary!$C$107),"X"," "))</f>
        <v xml:space="preserve"> </v>
      </c>
      <c r="S89" s="21" t="str">
        <f>IF(AND(L89-I89&gt;=Summary!$C$110,N89-K89&gt;Summary!$C$110,N89&gt;0),"X"," ")</f>
        <v xml:space="preserve"> </v>
      </c>
      <c r="T89" s="17" t="str">
        <f>IF($C$4="High Inventory",IF(AND($O89&gt;=Summary!$C$106,$P89&gt;=0%),"X"," "),IF(AND($O89&lt;=-Summary!$C$106,$P89&lt;=0%),"X"," "))</f>
        <v xml:space="preserve"> </v>
      </c>
      <c r="U89" s="21" t="str">
        <f>IF($C$4="High Inventory",IF(AND($O89&gt;=0,$P89&gt;=Summary!$C$107),"X"," "),IF(AND($O89&lt;=0,$P89&lt;=-Summary!$C$107),"X"," "))</f>
        <v xml:space="preserve"> </v>
      </c>
      <c r="V89" t="str">
        <f t="shared" si="10"/>
        <v xml:space="preserve"> </v>
      </c>
    </row>
    <row r="90" spans="1:22" x14ac:dyDescent="0.2">
      <c r="A90" s="42">
        <v>8579</v>
      </c>
      <c r="B90" s="77" t="s">
        <v>17</v>
      </c>
      <c r="C90" s="10">
        <v>0</v>
      </c>
      <c r="D90" s="5">
        <v>0</v>
      </c>
      <c r="E90" s="5">
        <v>0</v>
      </c>
      <c r="F90" s="10">
        <v>0</v>
      </c>
      <c r="G90" s="5">
        <v>0</v>
      </c>
      <c r="H90" s="5">
        <v>0</v>
      </c>
      <c r="I90" s="10">
        <v>0</v>
      </c>
      <c r="J90" s="5">
        <v>0</v>
      </c>
      <c r="K90" s="5">
        <v>0</v>
      </c>
      <c r="L90" s="10">
        <v>0</v>
      </c>
      <c r="M90" s="5">
        <v>0</v>
      </c>
      <c r="N90" s="5">
        <v>0</v>
      </c>
      <c r="O90" s="10">
        <f t="shared" si="8"/>
        <v>0</v>
      </c>
      <c r="P90" s="97">
        <f t="shared" si="9"/>
        <v>0</v>
      </c>
      <c r="Q90" s="101" t="str">
        <f t="shared" si="11"/>
        <v xml:space="preserve"> </v>
      </c>
      <c r="R90" s="91" t="str">
        <f>IF($C$4="High Inventory",IF(AND(O90&gt;=Summary!$C$106,P90&gt;=Summary!$C$107),"X"," "),IF(AND(O90&lt;=-Summary!$C$106,P90&lt;=-Summary!$C$107),"X"," "))</f>
        <v xml:space="preserve"> </v>
      </c>
      <c r="S90" s="21" t="str">
        <f>IF(AND(L90-I90&gt;=Summary!$C$110,N90-K90&gt;Summary!$C$110,N90&gt;0),"X"," ")</f>
        <v xml:space="preserve"> </v>
      </c>
      <c r="T90" s="17" t="str">
        <f>IF($C$4="High Inventory",IF(AND($O90&gt;=Summary!$C$106,$P90&gt;=0%),"X"," "),IF(AND($O90&lt;=-Summary!$C$106,$P90&lt;=0%),"X"," "))</f>
        <v xml:space="preserve"> </v>
      </c>
      <c r="U90" s="21" t="str">
        <f>IF($C$4="High Inventory",IF(AND($O90&gt;=0,$P90&gt;=Summary!$C$107),"X"," "),IF(AND($O90&lt;=0,$P90&lt;=-Summary!$C$107),"X"," "))</f>
        <v xml:space="preserve"> </v>
      </c>
      <c r="V90" t="str">
        <f t="shared" si="10"/>
        <v xml:space="preserve"> </v>
      </c>
    </row>
    <row r="91" spans="1:22" x14ac:dyDescent="0.2">
      <c r="A91" s="42">
        <v>8580</v>
      </c>
      <c r="B91" s="77" t="s">
        <v>17</v>
      </c>
      <c r="C91" s="10">
        <v>0</v>
      </c>
      <c r="D91" s="5">
        <v>0</v>
      </c>
      <c r="E91" s="5">
        <v>0</v>
      </c>
      <c r="F91" s="10">
        <v>0</v>
      </c>
      <c r="G91" s="5">
        <v>0</v>
      </c>
      <c r="H91" s="5">
        <v>0</v>
      </c>
      <c r="I91" s="10">
        <v>0</v>
      </c>
      <c r="J91" s="5">
        <v>0</v>
      </c>
      <c r="K91" s="5">
        <v>0</v>
      </c>
      <c r="L91" s="10">
        <v>0</v>
      </c>
      <c r="M91" s="5">
        <v>0</v>
      </c>
      <c r="N91" s="5">
        <v>0</v>
      </c>
      <c r="O91" s="10">
        <f t="shared" si="8"/>
        <v>0</v>
      </c>
      <c r="P91" s="97">
        <f t="shared" si="9"/>
        <v>0</v>
      </c>
      <c r="Q91" s="101" t="str">
        <f t="shared" si="11"/>
        <v xml:space="preserve"> </v>
      </c>
      <c r="R91" s="91" t="str">
        <f>IF($C$4="High Inventory",IF(AND(O91&gt;=Summary!$C$106,P91&gt;=Summary!$C$107),"X"," "),IF(AND(O91&lt;=-Summary!$C$106,P91&lt;=-Summary!$C$107),"X"," "))</f>
        <v xml:space="preserve"> </v>
      </c>
      <c r="S91" s="21" t="str">
        <f>IF(AND(L91-I91&gt;=Summary!$C$110,N91-K91&gt;Summary!$C$110,N91&gt;0),"X"," ")</f>
        <v xml:space="preserve"> </v>
      </c>
      <c r="T91" s="17" t="str">
        <f>IF($C$4="High Inventory",IF(AND($O91&gt;=Summary!$C$106,$P91&gt;=0%),"X"," "),IF(AND($O91&lt;=-Summary!$C$106,$P91&lt;=0%),"X"," "))</f>
        <v xml:space="preserve"> </v>
      </c>
      <c r="U91" s="21" t="str">
        <f>IF($C$4="High Inventory",IF(AND($O91&gt;=0,$P91&gt;=Summary!$C$107),"X"," "),IF(AND($O91&lt;=0,$P91&lt;=-Summary!$C$107),"X"," "))</f>
        <v xml:space="preserve"> </v>
      </c>
      <c r="V91" t="str">
        <f t="shared" si="10"/>
        <v xml:space="preserve"> </v>
      </c>
    </row>
    <row r="92" spans="1:22" x14ac:dyDescent="0.2">
      <c r="A92" s="42">
        <v>13636</v>
      </c>
      <c r="B92" s="77" t="s">
        <v>17</v>
      </c>
      <c r="C92" s="10">
        <v>0</v>
      </c>
      <c r="D92" s="5">
        <v>137</v>
      </c>
      <c r="E92" s="5">
        <v>-137</v>
      </c>
      <c r="F92" s="10">
        <v>0</v>
      </c>
      <c r="G92" s="5">
        <v>3</v>
      </c>
      <c r="H92" s="5">
        <v>-3</v>
      </c>
      <c r="I92" s="10">
        <v>0</v>
      </c>
      <c r="J92" s="5">
        <v>0</v>
      </c>
      <c r="K92" s="5">
        <v>0</v>
      </c>
      <c r="L92" s="10">
        <v>0</v>
      </c>
      <c r="M92" s="5">
        <v>85</v>
      </c>
      <c r="N92" s="5">
        <v>-85</v>
      </c>
      <c r="O92" s="10">
        <f>K92+H92+E92</f>
        <v>-140</v>
      </c>
      <c r="P92" s="97">
        <f>O92/(J92+G92+D92+1)</f>
        <v>-0.99290780141843971</v>
      </c>
      <c r="Q92" s="101" t="str">
        <f t="shared" si="11"/>
        <v xml:space="preserve"> </v>
      </c>
      <c r="R92" s="91" t="str">
        <f>IF($C$4="High Inventory",IF(AND(O92&gt;=Summary!$C$106,P92&gt;=Summary!$C$107),"X"," "),IF(AND(O92&lt;=-Summary!$C$106,P92&lt;=-Summary!$C$107),"X"," "))</f>
        <v xml:space="preserve"> </v>
      </c>
      <c r="S92" s="21" t="str">
        <f>IF(AND(L92-I92&gt;=Summary!$C$110,N92-K92&gt;Summary!$C$110,N92&gt;0),"X"," ")</f>
        <v xml:space="preserve"> </v>
      </c>
      <c r="T92" s="17" t="str">
        <f>IF($C$4="High Inventory",IF(AND($O92&gt;=Summary!$C$106,$P92&gt;=0%),"X"," "),IF(AND($O92&lt;=-Summary!$C$106,$P92&lt;=0%),"X"," "))</f>
        <v xml:space="preserve"> </v>
      </c>
      <c r="U92" s="21" t="str">
        <f>IF($C$4="High Inventory",IF(AND($O92&gt;=0,$P92&gt;=Summary!$C$107),"X"," "),IF(AND($O92&lt;=0,$P92&lt;=-Summary!$C$107),"X"," "))</f>
        <v xml:space="preserve"> </v>
      </c>
      <c r="V92" t="str">
        <f t="shared" si="10"/>
        <v xml:space="preserve"> </v>
      </c>
    </row>
    <row r="93" spans="1:22" x14ac:dyDescent="0.2">
      <c r="A93" s="42">
        <v>18287</v>
      </c>
      <c r="B93" s="77" t="s">
        <v>17</v>
      </c>
      <c r="C93" s="10">
        <v>0</v>
      </c>
      <c r="D93" s="5">
        <v>0</v>
      </c>
      <c r="E93" s="5">
        <v>0</v>
      </c>
      <c r="F93" s="10">
        <v>0</v>
      </c>
      <c r="G93" s="5">
        <v>0</v>
      </c>
      <c r="H93" s="5">
        <v>0</v>
      </c>
      <c r="I93" s="10">
        <v>0</v>
      </c>
      <c r="J93" s="5">
        <v>0</v>
      </c>
      <c r="K93" s="5">
        <v>0</v>
      </c>
      <c r="L93" s="10">
        <v>0</v>
      </c>
      <c r="M93" s="5">
        <v>0</v>
      </c>
      <c r="N93" s="5">
        <v>0</v>
      </c>
      <c r="O93" s="10">
        <f t="shared" si="8"/>
        <v>0</v>
      </c>
      <c r="P93" s="97">
        <f t="shared" si="9"/>
        <v>0</v>
      </c>
      <c r="Q93" s="101" t="str">
        <f t="shared" si="11"/>
        <v xml:space="preserve"> </v>
      </c>
      <c r="R93" s="91" t="str">
        <f>IF($C$4="High Inventory",IF(AND(O93&gt;=Summary!$C$106,P93&gt;=Summary!$C$107),"X"," "),IF(AND(O93&lt;=-Summary!$C$106,P93&lt;=-Summary!$C$107),"X"," "))</f>
        <v xml:space="preserve"> </v>
      </c>
      <c r="S93" s="21" t="str">
        <f>IF(AND(L93-I93&gt;=Summary!$C$110,N93-K93&gt;Summary!$C$110,N93&gt;0),"X"," ")</f>
        <v xml:space="preserve"> </v>
      </c>
      <c r="T93" s="17" t="str">
        <f>IF($C$4="High Inventory",IF(AND($O93&gt;=Summary!$C$106,$P93&gt;=0%),"X"," "),IF(AND($O93&lt;=-Summary!$C$106,$P93&lt;=0%),"X"," "))</f>
        <v xml:space="preserve"> </v>
      </c>
      <c r="U93" s="21" t="str">
        <f>IF($C$4="High Inventory",IF(AND($O93&gt;=0,$P93&gt;=Summary!$C$107),"X"," "),IF(AND($O93&lt;=0,$P93&lt;=-Summary!$C$107),"X"," "))</f>
        <v xml:space="preserve"> </v>
      </c>
      <c r="V93" t="str">
        <f t="shared" si="10"/>
        <v xml:space="preserve"> </v>
      </c>
    </row>
    <row r="94" spans="1:22" x14ac:dyDescent="0.2">
      <c r="A94" s="42">
        <v>20566</v>
      </c>
      <c r="B94" s="77" t="s">
        <v>17</v>
      </c>
      <c r="C94" s="10">
        <v>0</v>
      </c>
      <c r="D94" s="5">
        <v>0</v>
      </c>
      <c r="E94" s="5">
        <v>0</v>
      </c>
      <c r="F94" s="10">
        <v>0</v>
      </c>
      <c r="G94" s="5">
        <v>0</v>
      </c>
      <c r="H94" s="5">
        <v>0</v>
      </c>
      <c r="I94" s="10">
        <v>0</v>
      </c>
      <c r="J94" s="5">
        <v>0</v>
      </c>
      <c r="K94" s="5">
        <v>0</v>
      </c>
      <c r="L94" s="10">
        <v>0</v>
      </c>
      <c r="M94" s="5">
        <v>0</v>
      </c>
      <c r="N94" s="5">
        <v>0</v>
      </c>
      <c r="O94" s="10">
        <f t="shared" si="8"/>
        <v>0</v>
      </c>
      <c r="P94" s="97">
        <f t="shared" si="9"/>
        <v>0</v>
      </c>
      <c r="Q94" s="101" t="str">
        <f t="shared" si="11"/>
        <v xml:space="preserve"> </v>
      </c>
      <c r="R94" s="91" t="str">
        <f>IF($C$4="High Inventory",IF(AND(O94&gt;=Summary!$C$106,P94&gt;=Summary!$C$107),"X"," "),IF(AND(O94&lt;=-Summary!$C$106,P94&lt;=-Summary!$C$107),"X"," "))</f>
        <v xml:space="preserve"> </v>
      </c>
      <c r="S94" s="21" t="str">
        <f>IF(AND(L94-I94&gt;=Summary!$C$110,N94-K94&gt;Summary!$C$110,N94&gt;0),"X"," ")</f>
        <v xml:space="preserve"> </v>
      </c>
      <c r="T94" s="17" t="str">
        <f>IF($C$4="High Inventory",IF(AND($O94&gt;=Summary!$C$106,$P94&gt;=0%),"X"," "),IF(AND($O94&lt;=-Summary!$C$106,$P94&lt;=0%),"X"," "))</f>
        <v xml:space="preserve"> </v>
      </c>
      <c r="U94" s="21" t="str">
        <f>IF($C$4="High Inventory",IF(AND($O94&gt;=0,$P94&gt;=Summary!$C$107),"X"," "),IF(AND($O94&lt;=0,$P94&lt;=-Summary!$C$107),"X"," "))</f>
        <v xml:space="preserve"> </v>
      </c>
      <c r="V94" t="str">
        <f t="shared" si="10"/>
        <v xml:space="preserve"> </v>
      </c>
    </row>
    <row r="95" spans="1:22" x14ac:dyDescent="0.2">
      <c r="A95" s="42">
        <v>25541</v>
      </c>
      <c r="B95" s="77" t="s">
        <v>17</v>
      </c>
      <c r="C95" s="10">
        <v>0</v>
      </c>
      <c r="D95" s="5">
        <v>12</v>
      </c>
      <c r="E95" s="5">
        <v>-12</v>
      </c>
      <c r="F95" s="10">
        <v>0</v>
      </c>
      <c r="G95" s="5">
        <v>14</v>
      </c>
      <c r="H95" s="5">
        <v>-14</v>
      </c>
      <c r="I95" s="10">
        <v>0</v>
      </c>
      <c r="J95" s="5">
        <v>43</v>
      </c>
      <c r="K95" s="5">
        <v>-43</v>
      </c>
      <c r="L95" s="10">
        <v>0</v>
      </c>
      <c r="M95" s="5">
        <v>134</v>
      </c>
      <c r="N95" s="5">
        <v>-134</v>
      </c>
      <c r="O95" s="10">
        <f>K95+H95+E95</f>
        <v>-69</v>
      </c>
      <c r="P95" s="97">
        <f>O95/(J95+G95+D95+1)</f>
        <v>-0.98571428571428577</v>
      </c>
      <c r="Q95" s="101" t="str">
        <f t="shared" si="11"/>
        <v xml:space="preserve"> </v>
      </c>
      <c r="R95" s="91" t="str">
        <f>IF($C$4="High Inventory",IF(AND(O95&gt;=Summary!$C$106,P95&gt;=Summary!$C$107),"X"," "),IF(AND(O95&lt;=-Summary!$C$106,P95&lt;=-Summary!$C$107),"X"," "))</f>
        <v xml:space="preserve"> </v>
      </c>
      <c r="S95" s="21" t="str">
        <f>IF(AND(L95-I95&gt;=Summary!$C$110,N95-K95&gt;Summary!$C$110,N95&gt;0),"X"," ")</f>
        <v xml:space="preserve"> </v>
      </c>
      <c r="T95" s="17" t="str">
        <f>IF($C$4="High Inventory",IF(AND($O95&gt;=Summary!$C$106,$P95&gt;=0%),"X"," "),IF(AND($O95&lt;=-Summary!$C$106,$P95&lt;=0%),"X"," "))</f>
        <v xml:space="preserve"> </v>
      </c>
      <c r="U95" s="21" t="str">
        <f>IF($C$4="High Inventory",IF(AND($O95&gt;=0,$P95&gt;=Summary!$C$107),"X"," "),IF(AND($O95&lt;=0,$P95&lt;=-Summary!$C$107),"X"," "))</f>
        <v xml:space="preserve"> </v>
      </c>
      <c r="V95" t="str">
        <f t="shared" si="10"/>
        <v xml:space="preserve"> </v>
      </c>
    </row>
    <row r="96" spans="1:22" ht="13.5" thickBot="1" x14ac:dyDescent="0.25">
      <c r="A96" s="42">
        <v>28369</v>
      </c>
      <c r="B96" s="77" t="s">
        <v>17</v>
      </c>
      <c r="C96" s="10">
        <v>0</v>
      </c>
      <c r="D96" s="5">
        <v>22</v>
      </c>
      <c r="E96" s="5">
        <v>-22</v>
      </c>
      <c r="F96" s="10">
        <v>0</v>
      </c>
      <c r="G96" s="5">
        <v>72</v>
      </c>
      <c r="H96" s="5">
        <v>-72</v>
      </c>
      <c r="I96" s="10">
        <v>0</v>
      </c>
      <c r="J96" s="5">
        <v>71</v>
      </c>
      <c r="K96" s="5">
        <v>-71</v>
      </c>
      <c r="L96" s="10">
        <v>0</v>
      </c>
      <c r="M96" s="5">
        <v>64</v>
      </c>
      <c r="N96" s="5">
        <v>-64</v>
      </c>
      <c r="O96" s="10">
        <f>K96+H96+E96</f>
        <v>-165</v>
      </c>
      <c r="P96" s="97">
        <f>O96/(J96+G96+D96+1)</f>
        <v>-0.99397590361445787</v>
      </c>
      <c r="Q96" s="120" t="str">
        <f t="shared" si="11"/>
        <v xml:space="preserve"> </v>
      </c>
      <c r="R96" s="121" t="str">
        <f>IF($C$4="High Inventory",IF(AND(O96&gt;=Summary!$C$106,P96&gt;=Summary!$C$107),"X"," "),IF(AND(O96&lt;=-Summary!$C$106,P96&lt;=-Summary!$C$107),"X"," "))</f>
        <v xml:space="preserve"> </v>
      </c>
      <c r="S96" s="23" t="str">
        <f>IF(AND(L96-I96&gt;=Summary!$C$110,N96-K96&gt;Summary!$C$110,N96&gt;0),"X"," ")</f>
        <v xml:space="preserve"> </v>
      </c>
      <c r="T96" s="127" t="str">
        <f>IF($C$4="High Inventory",IF(AND($O96&gt;=Summary!$C$106,$P96&gt;=0%),"X"," "),IF(AND($O96&lt;=-Summary!$C$106,$P96&lt;=0%),"X"," "))</f>
        <v xml:space="preserve"> </v>
      </c>
      <c r="U96" s="23" t="str">
        <f>IF($C$4="High Inventory",IF(AND($O96&gt;=0,$P96&gt;=Summary!$C$107),"X"," "),IF(AND($O96&lt;=0,$P96&lt;=-Summary!$C$107),"X"," "))</f>
        <v xml:space="preserve"> </v>
      </c>
      <c r="V96" t="str">
        <f t="shared" si="10"/>
        <v xml:space="preserve"> </v>
      </c>
    </row>
    <row r="97" spans="1:22" s="3" customFormat="1" x14ac:dyDescent="0.2">
      <c r="A97" s="2" t="s">
        <v>18</v>
      </c>
      <c r="B97" s="2"/>
      <c r="E97" s="3">
        <f>SUM(E10:E96)</f>
        <v>175298</v>
      </c>
      <c r="H97" s="3">
        <f>SUM(H10:H96)</f>
        <v>48484</v>
      </c>
      <c r="K97" s="3">
        <f>SUM(K10:K96)</f>
        <v>15476</v>
      </c>
      <c r="M97" s="3">
        <f>SUM(M10:M96)</f>
        <v>1736966</v>
      </c>
      <c r="N97" s="3">
        <f>SUM(N10:N96)</f>
        <v>-141423</v>
      </c>
      <c r="P97" s="22"/>
      <c r="Q97" s="2">
        <f>COUNTIF(Q11:Q96,"X")</f>
        <v>8</v>
      </c>
      <c r="R97" s="2">
        <f>COUNTIF(R11:R96,"X")</f>
        <v>10</v>
      </c>
      <c r="S97" s="2">
        <f>COUNTIF(S11:S96,"X")</f>
        <v>2</v>
      </c>
      <c r="T97" s="2">
        <f>COUNTIF(T11:T96,"X")</f>
        <v>13</v>
      </c>
      <c r="U97" s="2">
        <f>COUNTIF(U11:U96,"X")</f>
        <v>13</v>
      </c>
      <c r="V97">
        <f>SUM(V$59:V$89)+SUM(V$31:V$53)+SUM(V$10:V$26)</f>
        <v>28637</v>
      </c>
    </row>
    <row r="98" spans="1:22" x14ac:dyDescent="0.2">
      <c r="M98" s="115" t="s">
        <v>57</v>
      </c>
      <c r="N98" s="116">
        <f>N97/M97</f>
        <v>-8.1419555708056465E-2</v>
      </c>
      <c r="P98" s="1"/>
      <c r="R98" s="2"/>
    </row>
  </sheetData>
  <mergeCells count="1">
    <mergeCell ref="R6:S6"/>
  </mergeCells>
  <pageMargins left="0.25" right="0.25" top="0.64" bottom="0.9" header="0.46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1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5546875" defaultRowHeight="12.75" x14ac:dyDescent="0.2"/>
  <cols>
    <col min="1" max="19" width="10" customWidth="1"/>
    <col min="20" max="22" width="10" hidden="1" customWidth="1"/>
    <col min="23" max="28" width="10" customWidth="1"/>
    <col min="29" max="252" width="9.140625" customWidth="1"/>
  </cols>
  <sheetData>
    <row r="1" spans="1:22" ht="18" x14ac:dyDescent="0.25">
      <c r="A1" s="80" t="s">
        <v>45</v>
      </c>
    </row>
    <row r="2" spans="1:22" ht="18" x14ac:dyDescent="0.2">
      <c r="A2" s="113" t="s">
        <v>24</v>
      </c>
    </row>
    <row r="3" spans="1:22" ht="15.75" x14ac:dyDescent="0.25">
      <c r="A3" s="4" t="s">
        <v>25</v>
      </c>
      <c r="C3" s="20">
        <f>L8</f>
        <v>36667</v>
      </c>
      <c r="D3" s="19"/>
    </row>
    <row r="4" spans="1:22" ht="15.75" x14ac:dyDescent="0.25">
      <c r="A4" s="4" t="s">
        <v>26</v>
      </c>
      <c r="C4" s="81" t="s">
        <v>27</v>
      </c>
      <c r="D4" s="19"/>
      <c r="E4" s="81" t="s">
        <v>58</v>
      </c>
    </row>
    <row r="5" spans="1:22" ht="16.5" thickBot="1" x14ac:dyDescent="0.3">
      <c r="A5" s="4" t="s">
        <v>28</v>
      </c>
      <c r="C5" s="81" t="s">
        <v>42</v>
      </c>
      <c r="D5" s="19"/>
    </row>
    <row r="6" spans="1:22" ht="21.75" customHeight="1" thickBot="1" x14ac:dyDescent="0.25">
      <c r="R6" s="219" t="s">
        <v>35</v>
      </c>
      <c r="S6" s="220"/>
    </row>
    <row r="7" spans="1:22" s="85" customFormat="1" ht="54" customHeight="1" thickBot="1" x14ac:dyDescent="0.25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5" customHeight="1" thickBot="1" x14ac:dyDescent="0.25">
      <c r="A8" s="71"/>
      <c r="B8" s="72"/>
      <c r="C8" s="73">
        <v>36664</v>
      </c>
      <c r="D8" s="74"/>
      <c r="E8" s="75" t="str">
        <f>TEXT(WEEKDAY(C8),"dddd")</f>
        <v>Thursday</v>
      </c>
      <c r="F8" s="73">
        <v>36665</v>
      </c>
      <c r="G8" s="74"/>
      <c r="H8" s="75" t="str">
        <f>TEXT(WEEKDAY(F8),"dddd")</f>
        <v>Friday</v>
      </c>
      <c r="I8" s="73">
        <v>36666</v>
      </c>
      <c r="J8" s="74"/>
      <c r="K8" s="75" t="str">
        <f>TEXT(WEEKDAY(I8),"dddd")</f>
        <v>Saturday</v>
      </c>
      <c r="L8" s="73">
        <v>36667</v>
      </c>
      <c r="M8" s="74"/>
      <c r="N8" s="75" t="str">
        <f>TEXT(WEEKDAY(L8),"dddd")</f>
        <v>Sunday</v>
      </c>
      <c r="O8" s="71"/>
      <c r="P8" s="72"/>
      <c r="Q8" s="129"/>
      <c r="R8" s="144"/>
      <c r="S8" s="156">
        <f>Summary!$C$110</f>
        <v>5000</v>
      </c>
      <c r="T8" s="128"/>
      <c r="U8" s="130"/>
    </row>
    <row r="9" spans="1:22" ht="51" hidden="1" x14ac:dyDescent="0.2">
      <c r="A9" s="10" t="s">
        <v>6</v>
      </c>
      <c r="B9" s="5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3" si="0">K9+H9+E9</f>
        <v>#VALUE!</v>
      </c>
      <c r="P9" s="5"/>
      <c r="Q9" s="118"/>
      <c r="R9" s="138"/>
      <c r="T9" s="126"/>
      <c r="U9" s="103"/>
    </row>
    <row r="10" spans="1:22" x14ac:dyDescent="0.2">
      <c r="A10" s="10">
        <v>1117</v>
      </c>
      <c r="B10" s="5" t="s">
        <v>8</v>
      </c>
      <c r="C10" s="10">
        <v>261</v>
      </c>
      <c r="D10" s="5">
        <v>230</v>
      </c>
      <c r="E10" s="5">
        <v>31</v>
      </c>
      <c r="F10" s="10">
        <v>261</v>
      </c>
      <c r="G10" s="5">
        <v>205</v>
      </c>
      <c r="H10" s="5">
        <v>56</v>
      </c>
      <c r="I10" s="10">
        <v>261</v>
      </c>
      <c r="J10" s="5">
        <v>190</v>
      </c>
      <c r="K10" s="5">
        <v>71</v>
      </c>
      <c r="L10" s="10">
        <v>261</v>
      </c>
      <c r="M10" s="5">
        <v>183</v>
      </c>
      <c r="N10" s="5">
        <v>78</v>
      </c>
      <c r="O10" s="10">
        <f t="shared" si="0"/>
        <v>158</v>
      </c>
      <c r="P10" s="97">
        <f t="shared" ref="P10:P53" si="1">O10/(J10+G10+D10+1)</f>
        <v>0.25239616613418531</v>
      </c>
      <c r="Q10" s="134" t="str">
        <f t="shared" ref="Q10:Q35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>X</v>
      </c>
      <c r="V10" t="str">
        <f t="shared" ref="V10:V41" si="3">IF(S10 = "X",L10-I10," ")</f>
        <v xml:space="preserve"> </v>
      </c>
    </row>
    <row r="11" spans="1:22" x14ac:dyDescent="0.2">
      <c r="A11" s="10">
        <v>1126</v>
      </c>
      <c r="B11" s="5" t="s">
        <v>8</v>
      </c>
      <c r="C11" s="10">
        <v>0</v>
      </c>
      <c r="D11" s="5">
        <v>73</v>
      </c>
      <c r="E11" s="5">
        <v>-73</v>
      </c>
      <c r="F11" s="10">
        <v>0</v>
      </c>
      <c r="G11" s="5">
        <v>65</v>
      </c>
      <c r="H11" s="5">
        <v>-65</v>
      </c>
      <c r="I11" s="10">
        <v>0</v>
      </c>
      <c r="J11" s="5">
        <v>60</v>
      </c>
      <c r="K11" s="5">
        <v>-60</v>
      </c>
      <c r="L11" s="10">
        <v>0</v>
      </c>
      <c r="M11" s="5">
        <v>58</v>
      </c>
      <c r="N11" s="5">
        <v>-58</v>
      </c>
      <c r="O11" s="10">
        <f t="shared" si="0"/>
        <v>-198</v>
      </c>
      <c r="P11" s="97">
        <f t="shared" si="1"/>
        <v>-0.99497487437185927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">
      <c r="A12" s="10">
        <v>1157</v>
      </c>
      <c r="B12" s="5" t="s">
        <v>8</v>
      </c>
      <c r="C12" s="10">
        <v>100</v>
      </c>
      <c r="D12" s="5">
        <v>114</v>
      </c>
      <c r="E12" s="5">
        <v>-14</v>
      </c>
      <c r="F12" s="10">
        <v>100</v>
      </c>
      <c r="G12" s="5">
        <v>102</v>
      </c>
      <c r="H12" s="5">
        <v>-2</v>
      </c>
      <c r="I12" s="10">
        <v>100</v>
      </c>
      <c r="J12" s="5">
        <v>94</v>
      </c>
      <c r="K12" s="5">
        <v>6</v>
      </c>
      <c r="L12" s="10">
        <v>100</v>
      </c>
      <c r="M12" s="5">
        <v>90</v>
      </c>
      <c r="N12" s="5">
        <v>10</v>
      </c>
      <c r="O12" s="10">
        <f t="shared" si="0"/>
        <v>-10</v>
      </c>
      <c r="P12" s="97">
        <f t="shared" si="1"/>
        <v>-3.215434083601286E-2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">
      <c r="A13" s="10">
        <v>1780</v>
      </c>
      <c r="B13" s="5" t="s">
        <v>8</v>
      </c>
      <c r="C13" s="10">
        <v>970</v>
      </c>
      <c r="D13" s="5">
        <v>1158</v>
      </c>
      <c r="E13" s="5">
        <v>-188</v>
      </c>
      <c r="F13" s="10">
        <v>970</v>
      </c>
      <c r="G13" s="5">
        <v>1031</v>
      </c>
      <c r="H13" s="5">
        <v>-61</v>
      </c>
      <c r="I13" s="10">
        <v>970</v>
      </c>
      <c r="J13" s="5">
        <v>955</v>
      </c>
      <c r="K13" s="5">
        <v>15</v>
      </c>
      <c r="L13" s="10">
        <v>970</v>
      </c>
      <c r="M13" s="5">
        <v>925</v>
      </c>
      <c r="N13" s="5">
        <v>45</v>
      </c>
      <c r="O13" s="10">
        <f t="shared" si="0"/>
        <v>-234</v>
      </c>
      <c r="P13" s="97">
        <f t="shared" si="1"/>
        <v>-7.4403815580286164E-2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">
      <c r="A14" s="10">
        <v>2280</v>
      </c>
      <c r="B14" s="5" t="s">
        <v>8</v>
      </c>
      <c r="C14" s="10">
        <v>838</v>
      </c>
      <c r="D14" s="5">
        <v>724</v>
      </c>
      <c r="E14" s="5">
        <v>114</v>
      </c>
      <c r="F14" s="10">
        <v>836</v>
      </c>
      <c r="G14" s="5">
        <v>645</v>
      </c>
      <c r="H14" s="5">
        <v>191</v>
      </c>
      <c r="I14" s="10">
        <v>840</v>
      </c>
      <c r="J14" s="5">
        <v>597</v>
      </c>
      <c r="K14" s="5">
        <v>243</v>
      </c>
      <c r="L14" s="10">
        <v>840</v>
      </c>
      <c r="M14" s="5">
        <v>578</v>
      </c>
      <c r="N14" s="5">
        <v>262</v>
      </c>
      <c r="O14" s="10">
        <f t="shared" si="0"/>
        <v>548</v>
      </c>
      <c r="P14" s="97">
        <f t="shared" si="1"/>
        <v>0.27859684799186579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>X</v>
      </c>
      <c r="V14" t="str">
        <f t="shared" si="3"/>
        <v xml:space="preserve"> </v>
      </c>
    </row>
    <row r="15" spans="1:22" x14ac:dyDescent="0.2">
      <c r="A15" s="10">
        <v>2584</v>
      </c>
      <c r="B15" s="5" t="s">
        <v>8</v>
      </c>
      <c r="C15" s="10">
        <v>4307</v>
      </c>
      <c r="D15" s="5">
        <v>3262</v>
      </c>
      <c r="E15" s="5">
        <v>1045</v>
      </c>
      <c r="F15" s="10">
        <v>3707</v>
      </c>
      <c r="G15" s="5">
        <v>2904</v>
      </c>
      <c r="H15" s="5">
        <v>803</v>
      </c>
      <c r="I15" s="10">
        <v>3707</v>
      </c>
      <c r="J15" s="5">
        <v>2689</v>
      </c>
      <c r="K15" s="5">
        <v>1018</v>
      </c>
      <c r="L15" s="10">
        <v>3707</v>
      </c>
      <c r="M15" s="5">
        <v>2604</v>
      </c>
      <c r="N15" s="5">
        <v>1103</v>
      </c>
      <c r="O15" s="10">
        <f t="shared" si="0"/>
        <v>2866</v>
      </c>
      <c r="P15" s="97">
        <f t="shared" si="1"/>
        <v>0.32362240289069555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>X</v>
      </c>
      <c r="V15" t="str">
        <f t="shared" si="3"/>
        <v xml:space="preserve"> </v>
      </c>
    </row>
    <row r="16" spans="1:22" x14ac:dyDescent="0.2">
      <c r="A16" s="10">
        <v>2771</v>
      </c>
      <c r="B16" s="5" t="s">
        <v>8</v>
      </c>
      <c r="C16" s="10">
        <v>7100</v>
      </c>
      <c r="D16" s="5">
        <v>6450</v>
      </c>
      <c r="E16" s="5">
        <v>650</v>
      </c>
      <c r="F16" s="10">
        <v>7100</v>
      </c>
      <c r="G16" s="5">
        <v>5715</v>
      </c>
      <c r="H16" s="5">
        <v>1385</v>
      </c>
      <c r="I16" s="10">
        <v>7100</v>
      </c>
      <c r="J16" s="5">
        <v>5293</v>
      </c>
      <c r="K16" s="5">
        <v>1807</v>
      </c>
      <c r="L16" s="10">
        <v>21160</v>
      </c>
      <c r="M16" s="5">
        <v>5118</v>
      </c>
      <c r="N16" s="5">
        <v>16042</v>
      </c>
      <c r="O16" s="10">
        <f t="shared" si="0"/>
        <v>3842</v>
      </c>
      <c r="P16" s="97">
        <f t="shared" si="1"/>
        <v>0.22005842259006816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>X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>X</v>
      </c>
      <c r="V16">
        <f t="shared" si="3"/>
        <v>14060</v>
      </c>
    </row>
    <row r="17" spans="1:22" x14ac:dyDescent="0.2">
      <c r="A17" s="10">
        <v>2832</v>
      </c>
      <c r="B17" s="5" t="s">
        <v>8</v>
      </c>
      <c r="C17" s="10">
        <v>929</v>
      </c>
      <c r="D17" s="5">
        <v>953</v>
      </c>
      <c r="E17" s="5">
        <v>-24</v>
      </c>
      <c r="F17" s="10">
        <v>929</v>
      </c>
      <c r="G17" s="5">
        <v>849</v>
      </c>
      <c r="H17" s="5">
        <v>80</v>
      </c>
      <c r="I17" s="10">
        <v>929</v>
      </c>
      <c r="J17" s="5">
        <v>786</v>
      </c>
      <c r="K17" s="5">
        <v>143</v>
      </c>
      <c r="L17" s="10">
        <v>929</v>
      </c>
      <c r="M17" s="5">
        <v>760</v>
      </c>
      <c r="N17" s="5">
        <v>169</v>
      </c>
      <c r="O17" s="10">
        <f t="shared" si="0"/>
        <v>199</v>
      </c>
      <c r="P17" s="97">
        <f t="shared" si="1"/>
        <v>7.6863653920432595E-2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">
      <c r="A18" s="10">
        <v>2892</v>
      </c>
      <c r="B18" s="5" t="s">
        <v>8</v>
      </c>
      <c r="C18" s="10">
        <v>4237</v>
      </c>
      <c r="D18" s="5">
        <v>4590</v>
      </c>
      <c r="E18" s="5">
        <v>-353</v>
      </c>
      <c r="F18" s="10">
        <v>4237</v>
      </c>
      <c r="G18" s="5">
        <v>4081</v>
      </c>
      <c r="H18" s="5">
        <v>156</v>
      </c>
      <c r="I18" s="10">
        <v>4237</v>
      </c>
      <c r="J18" s="5">
        <v>3780</v>
      </c>
      <c r="K18" s="5">
        <v>457</v>
      </c>
      <c r="L18" s="10">
        <v>4237</v>
      </c>
      <c r="M18" s="5">
        <v>3657</v>
      </c>
      <c r="N18" s="5">
        <v>580</v>
      </c>
      <c r="O18" s="10">
        <f t="shared" si="0"/>
        <v>260</v>
      </c>
      <c r="P18" s="97">
        <f t="shared" si="1"/>
        <v>2.0880179890780597E-2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3"/>
        <v xml:space="preserve"> </v>
      </c>
    </row>
    <row r="19" spans="1:22" x14ac:dyDescent="0.2">
      <c r="A19" s="10">
        <v>2939</v>
      </c>
      <c r="B19" s="5" t="s">
        <v>8</v>
      </c>
      <c r="C19" s="10">
        <v>0</v>
      </c>
      <c r="D19" s="5">
        <v>1150</v>
      </c>
      <c r="E19" s="5">
        <v>-1150</v>
      </c>
      <c r="F19" s="10">
        <v>0</v>
      </c>
      <c r="G19" s="5">
        <v>1024</v>
      </c>
      <c r="H19" s="5">
        <v>-1024</v>
      </c>
      <c r="I19" s="10">
        <v>0</v>
      </c>
      <c r="J19" s="5">
        <v>949</v>
      </c>
      <c r="K19" s="5">
        <v>-949</v>
      </c>
      <c r="L19" s="10">
        <v>0</v>
      </c>
      <c r="M19" s="5">
        <v>918</v>
      </c>
      <c r="N19" s="5">
        <v>-918</v>
      </c>
      <c r="O19" s="10">
        <f t="shared" si="0"/>
        <v>-3123</v>
      </c>
      <c r="P19" s="97">
        <f t="shared" si="1"/>
        <v>-0.99967989756722153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">
      <c r="A20" s="10">
        <v>3152</v>
      </c>
      <c r="B20" s="5" t="s">
        <v>8</v>
      </c>
      <c r="C20" s="10">
        <v>6168</v>
      </c>
      <c r="D20" s="5">
        <v>6210</v>
      </c>
      <c r="E20" s="5">
        <v>-42</v>
      </c>
      <c r="F20" s="10">
        <v>6198</v>
      </c>
      <c r="G20" s="5">
        <v>5474</v>
      </c>
      <c r="H20" s="5">
        <v>724</v>
      </c>
      <c r="I20" s="10">
        <v>6198</v>
      </c>
      <c r="J20" s="5">
        <v>5070</v>
      </c>
      <c r="K20" s="5">
        <v>1128</v>
      </c>
      <c r="L20" s="10">
        <v>6198</v>
      </c>
      <c r="M20" s="5">
        <v>4895</v>
      </c>
      <c r="N20" s="5">
        <v>1303</v>
      </c>
      <c r="O20" s="10">
        <f t="shared" si="0"/>
        <v>1810</v>
      </c>
      <c r="P20" s="97">
        <f t="shared" si="1"/>
        <v>0.10802745449119666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>X</v>
      </c>
      <c r="V20" t="str">
        <f t="shared" si="3"/>
        <v xml:space="preserve"> </v>
      </c>
    </row>
    <row r="21" spans="1:22" x14ac:dyDescent="0.2">
      <c r="A21" s="10">
        <v>4303</v>
      </c>
      <c r="B21" s="5" t="s">
        <v>8</v>
      </c>
      <c r="C21" s="10">
        <v>2839</v>
      </c>
      <c r="D21" s="5">
        <v>2565</v>
      </c>
      <c r="E21" s="5">
        <v>274</v>
      </c>
      <c r="F21" s="10">
        <v>3112</v>
      </c>
      <c r="G21" s="5">
        <v>2284</v>
      </c>
      <c r="H21" s="5">
        <v>828</v>
      </c>
      <c r="I21" s="10">
        <v>3316</v>
      </c>
      <c r="J21" s="5">
        <v>2115</v>
      </c>
      <c r="K21" s="5">
        <v>1201</v>
      </c>
      <c r="L21" s="10">
        <v>3033</v>
      </c>
      <c r="M21" s="5">
        <v>2048</v>
      </c>
      <c r="N21" s="5">
        <v>985</v>
      </c>
      <c r="O21" s="10">
        <f t="shared" si="0"/>
        <v>2303</v>
      </c>
      <c r="P21" s="97">
        <f t="shared" si="1"/>
        <v>0.33065326633165831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>X</v>
      </c>
      <c r="V21" t="str">
        <f t="shared" si="3"/>
        <v xml:space="preserve"> </v>
      </c>
    </row>
    <row r="22" spans="1:22" x14ac:dyDescent="0.2">
      <c r="A22" s="10">
        <v>6500</v>
      </c>
      <c r="B22" s="5" t="s">
        <v>8</v>
      </c>
      <c r="C22" s="10">
        <v>540331</v>
      </c>
      <c r="D22" s="5">
        <v>522395</v>
      </c>
      <c r="E22" s="5">
        <v>17936</v>
      </c>
      <c r="F22" s="10">
        <v>470542</v>
      </c>
      <c r="G22" s="5">
        <v>464061</v>
      </c>
      <c r="H22" s="5">
        <v>6481</v>
      </c>
      <c r="I22" s="10">
        <v>426590</v>
      </c>
      <c r="J22" s="5">
        <v>429780</v>
      </c>
      <c r="K22" s="5">
        <v>-3190</v>
      </c>
      <c r="L22" s="10">
        <v>418481</v>
      </c>
      <c r="M22" s="5">
        <v>415856</v>
      </c>
      <c r="N22" s="5">
        <v>2625</v>
      </c>
      <c r="O22" s="10">
        <f t="shared" si="0"/>
        <v>21227</v>
      </c>
      <c r="P22" s="97">
        <f t="shared" si="1"/>
        <v>1.4988310572312402E-2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">
      <c r="A23" s="10">
        <v>10656</v>
      </c>
      <c r="B23" s="5" t="s">
        <v>8</v>
      </c>
      <c r="C23" s="10">
        <v>130</v>
      </c>
      <c r="D23" s="5">
        <v>211</v>
      </c>
      <c r="E23" s="5">
        <v>-81</v>
      </c>
      <c r="F23" s="10">
        <v>130</v>
      </c>
      <c r="G23" s="5">
        <v>188</v>
      </c>
      <c r="H23" s="5">
        <v>-58</v>
      </c>
      <c r="I23" s="10">
        <v>130</v>
      </c>
      <c r="J23" s="5">
        <v>174</v>
      </c>
      <c r="K23" s="5">
        <v>-44</v>
      </c>
      <c r="L23" s="10">
        <v>130</v>
      </c>
      <c r="M23" s="5">
        <v>169</v>
      </c>
      <c r="N23" s="5">
        <v>-39</v>
      </c>
      <c r="O23" s="10">
        <f t="shared" si="0"/>
        <v>-183</v>
      </c>
      <c r="P23" s="97">
        <f t="shared" si="1"/>
        <v>-0.31881533101045295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">
      <c r="A24" s="10">
        <v>12296</v>
      </c>
      <c r="B24" s="5" t="s">
        <v>8</v>
      </c>
      <c r="C24" s="10">
        <v>2300</v>
      </c>
      <c r="D24" s="5">
        <v>2679</v>
      </c>
      <c r="E24" s="5">
        <v>-379</v>
      </c>
      <c r="F24" s="10">
        <v>2300</v>
      </c>
      <c r="G24" s="5">
        <v>2386</v>
      </c>
      <c r="H24" s="5">
        <v>-86</v>
      </c>
      <c r="I24" s="10">
        <v>2300</v>
      </c>
      <c r="J24" s="5">
        <v>2209</v>
      </c>
      <c r="K24" s="5">
        <v>91</v>
      </c>
      <c r="L24" s="10">
        <v>2300</v>
      </c>
      <c r="M24" s="5">
        <v>2139</v>
      </c>
      <c r="N24" s="5">
        <v>161</v>
      </c>
      <c r="O24" s="10">
        <f t="shared" si="0"/>
        <v>-374</v>
      </c>
      <c r="P24" s="97">
        <f t="shared" si="1"/>
        <v>-5.1408934707903781E-2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">
      <c r="A25" s="10">
        <v>16786</v>
      </c>
      <c r="B25" s="5" t="s">
        <v>8</v>
      </c>
      <c r="C25" s="10">
        <v>2975</v>
      </c>
      <c r="D25" s="5">
        <v>3875</v>
      </c>
      <c r="E25" s="5">
        <v>-900</v>
      </c>
      <c r="F25" s="10">
        <v>2975</v>
      </c>
      <c r="G25" s="5">
        <v>3444</v>
      </c>
      <c r="H25" s="5">
        <v>-469</v>
      </c>
      <c r="I25" s="10">
        <v>2975</v>
      </c>
      <c r="J25" s="5">
        <v>3190</v>
      </c>
      <c r="K25" s="5">
        <v>-215</v>
      </c>
      <c r="L25" s="10">
        <v>2975</v>
      </c>
      <c r="M25" s="5">
        <v>3086</v>
      </c>
      <c r="N25" s="5">
        <v>-111</v>
      </c>
      <c r="O25" s="10">
        <f t="shared" si="0"/>
        <v>-1584</v>
      </c>
      <c r="P25" s="97">
        <f t="shared" si="1"/>
        <v>-0.15071360608943862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">
      <c r="A26" s="10">
        <v>17791</v>
      </c>
      <c r="B26" s="5" t="s">
        <v>8</v>
      </c>
      <c r="C26" s="10">
        <v>30</v>
      </c>
      <c r="D26" s="5">
        <v>258</v>
      </c>
      <c r="E26" s="5">
        <v>-228</v>
      </c>
      <c r="F26" s="10">
        <v>0</v>
      </c>
      <c r="G26" s="5">
        <v>230</v>
      </c>
      <c r="H26" s="5">
        <v>-230</v>
      </c>
      <c r="I26" s="10">
        <v>0</v>
      </c>
      <c r="J26" s="5">
        <v>213</v>
      </c>
      <c r="K26" s="5">
        <v>-213</v>
      </c>
      <c r="L26" s="10">
        <v>0</v>
      </c>
      <c r="M26" s="5">
        <v>205</v>
      </c>
      <c r="N26" s="5">
        <v>-205</v>
      </c>
      <c r="O26" s="10">
        <f t="shared" si="0"/>
        <v>-671</v>
      </c>
      <c r="P26" s="97">
        <f t="shared" si="1"/>
        <v>-0.95584045584045585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">
      <c r="A27" s="10"/>
      <c r="B27" s="5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">
      <c r="A28" s="10"/>
      <c r="B28" s="5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">
      <c r="A29" s="10"/>
      <c r="B29" s="5"/>
      <c r="C29" s="15">
        <v>36664</v>
      </c>
      <c r="D29" s="5"/>
      <c r="E29" s="5"/>
      <c r="F29" s="15">
        <v>36665</v>
      </c>
      <c r="G29" s="5"/>
      <c r="H29" s="5"/>
      <c r="I29" s="15">
        <v>36666</v>
      </c>
      <c r="J29" s="5"/>
      <c r="K29" s="5"/>
      <c r="L29" s="15">
        <v>36667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3"/>
        <v xml:space="preserve"> </v>
      </c>
    </row>
    <row r="30" spans="1:22" hidden="1" x14ac:dyDescent="0.2">
      <c r="A30" s="10" t="s">
        <v>13</v>
      </c>
      <c r="B30" s="5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3"/>
        <v>#VALUE!</v>
      </c>
    </row>
    <row r="31" spans="1:22" x14ac:dyDescent="0.2">
      <c r="A31" s="10">
        <v>1117</v>
      </c>
      <c r="B31" s="5" t="s">
        <v>15</v>
      </c>
      <c r="C31" s="10">
        <v>61917</v>
      </c>
      <c r="D31" s="5">
        <v>71485</v>
      </c>
      <c r="E31" s="5">
        <v>-9568</v>
      </c>
      <c r="F31" s="10">
        <v>82030</v>
      </c>
      <c r="G31" s="5">
        <v>64181</v>
      </c>
      <c r="H31" s="5">
        <v>17849</v>
      </c>
      <c r="I31" s="10">
        <v>66970</v>
      </c>
      <c r="J31" s="5">
        <v>54457</v>
      </c>
      <c r="K31" s="5">
        <v>12513</v>
      </c>
      <c r="L31" s="10">
        <v>69997</v>
      </c>
      <c r="M31" s="5">
        <v>50439</v>
      </c>
      <c r="N31" s="5">
        <v>19558</v>
      </c>
      <c r="O31" s="10">
        <f t="shared" si="0"/>
        <v>20794</v>
      </c>
      <c r="P31" s="97">
        <f t="shared" si="1"/>
        <v>0.10937072647324904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>X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>X</v>
      </c>
      <c r="V31" t="str">
        <f t="shared" si="3"/>
        <v xml:space="preserve"> </v>
      </c>
    </row>
    <row r="32" spans="1:22" x14ac:dyDescent="0.2">
      <c r="A32" s="10">
        <v>1126</v>
      </c>
      <c r="B32" s="5" t="s">
        <v>15</v>
      </c>
      <c r="C32" s="10">
        <v>30418</v>
      </c>
      <c r="D32" s="5">
        <v>30448</v>
      </c>
      <c r="E32" s="5">
        <v>-30</v>
      </c>
      <c r="F32" s="10">
        <v>30418</v>
      </c>
      <c r="G32" s="5">
        <v>29932</v>
      </c>
      <c r="H32" s="5">
        <v>486</v>
      </c>
      <c r="I32" s="10">
        <v>30418</v>
      </c>
      <c r="J32" s="5">
        <v>28010</v>
      </c>
      <c r="K32" s="5">
        <v>2408</v>
      </c>
      <c r="L32" s="10">
        <v>30418</v>
      </c>
      <c r="M32" s="5">
        <v>26560</v>
      </c>
      <c r="N32" s="5">
        <v>3858</v>
      </c>
      <c r="O32" s="10">
        <f t="shared" si="0"/>
        <v>2864</v>
      </c>
      <c r="P32" s="97">
        <f t="shared" si="1"/>
        <v>3.2401488839361475E-2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 xml:space="preserve"> 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 xml:space="preserve"> </v>
      </c>
      <c r="U32" s="21" t="str">
        <f>IF($C$4="High Inventory",IF(AND($O32&gt;=0,$P32&gt;=Summary!$C$107),"X"," "),IF(AND($O32&lt;=0,$P32&lt;=-Summary!$C$107),"X"," "))</f>
        <v xml:space="preserve"> </v>
      </c>
      <c r="V32" t="str">
        <f t="shared" si="3"/>
        <v xml:space="preserve"> </v>
      </c>
    </row>
    <row r="33" spans="1:22" x14ac:dyDescent="0.2">
      <c r="A33" s="10">
        <v>1157</v>
      </c>
      <c r="B33" s="5" t="s">
        <v>15</v>
      </c>
      <c r="C33" s="10">
        <v>126427</v>
      </c>
      <c r="D33" s="5">
        <v>67637</v>
      </c>
      <c r="E33" s="5">
        <v>58790</v>
      </c>
      <c r="F33" s="10">
        <v>54672</v>
      </c>
      <c r="G33" s="5">
        <v>74912</v>
      </c>
      <c r="H33" s="5">
        <v>-20240</v>
      </c>
      <c r="I33" s="10">
        <v>98041</v>
      </c>
      <c r="J33" s="5">
        <v>67858</v>
      </c>
      <c r="K33" s="5">
        <v>30183</v>
      </c>
      <c r="L33" s="10">
        <v>51078</v>
      </c>
      <c r="M33" s="5">
        <v>76330</v>
      </c>
      <c r="N33" s="5">
        <v>-25252</v>
      </c>
      <c r="O33" s="10">
        <f t="shared" si="0"/>
        <v>68733</v>
      </c>
      <c r="P33" s="97">
        <f t="shared" si="1"/>
        <v>0.32666533591878638</v>
      </c>
      <c r="Q33" s="17" t="s">
        <v>44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3"/>
        <v xml:space="preserve"> </v>
      </c>
    </row>
    <row r="34" spans="1:22" x14ac:dyDescent="0.2">
      <c r="A34" s="10">
        <v>1281</v>
      </c>
      <c r="B34" s="5" t="s">
        <v>15</v>
      </c>
      <c r="C34" s="10">
        <v>0</v>
      </c>
      <c r="D34" s="5">
        <v>21294</v>
      </c>
      <c r="E34" s="5">
        <v>-21294</v>
      </c>
      <c r="F34" s="10">
        <v>18508</v>
      </c>
      <c r="G34" s="5">
        <v>19432</v>
      </c>
      <c r="H34" s="5">
        <v>-924</v>
      </c>
      <c r="I34" s="10">
        <v>37343</v>
      </c>
      <c r="J34" s="5">
        <v>11710</v>
      </c>
      <c r="K34" s="5">
        <v>25633</v>
      </c>
      <c r="L34" s="10">
        <v>11808</v>
      </c>
      <c r="M34" s="5">
        <v>7248</v>
      </c>
      <c r="N34" s="5">
        <v>4560</v>
      </c>
      <c r="O34" s="10">
        <f t="shared" si="0"/>
        <v>3415</v>
      </c>
      <c r="P34" s="97">
        <f t="shared" si="1"/>
        <v>6.5125769971584951E-2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 xml:space="preserve"> 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 xml:space="preserve"> </v>
      </c>
      <c r="U34" s="21" t="str">
        <f>IF($C$4="High Inventory",IF(AND($O34&gt;=0,$P34&gt;=Summary!$C$107),"X"," "),IF(AND($O34&lt;=0,$P34&lt;=-Summary!$C$107),"X"," "))</f>
        <v xml:space="preserve"> </v>
      </c>
      <c r="V34" t="str">
        <f t="shared" si="3"/>
        <v xml:space="preserve"> </v>
      </c>
    </row>
    <row r="35" spans="1:22" x14ac:dyDescent="0.2">
      <c r="A35" s="10">
        <v>1340</v>
      </c>
      <c r="B35" s="5" t="s">
        <v>15</v>
      </c>
      <c r="C35" s="10">
        <v>4612</v>
      </c>
      <c r="D35" s="5">
        <v>5082</v>
      </c>
      <c r="E35" s="5">
        <v>-470</v>
      </c>
      <c r="F35" s="10">
        <v>4317</v>
      </c>
      <c r="G35" s="5">
        <v>4830</v>
      </c>
      <c r="H35" s="5">
        <v>-513</v>
      </c>
      <c r="I35" s="10">
        <v>4318</v>
      </c>
      <c r="J35" s="5">
        <v>3434</v>
      </c>
      <c r="K35" s="5">
        <v>884</v>
      </c>
      <c r="L35" s="10">
        <v>4318</v>
      </c>
      <c r="M35" s="5">
        <v>3752</v>
      </c>
      <c r="N35" s="5">
        <v>566</v>
      </c>
      <c r="O35" s="10">
        <f t="shared" si="0"/>
        <v>-99</v>
      </c>
      <c r="P35" s="97">
        <f t="shared" si="1"/>
        <v>-7.4173971679028991E-3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3"/>
        <v xml:space="preserve"> </v>
      </c>
    </row>
    <row r="36" spans="1:22" x14ac:dyDescent="0.2">
      <c r="A36" s="10">
        <v>1377</v>
      </c>
      <c r="B36" s="5" t="s">
        <v>15</v>
      </c>
      <c r="C36" s="10">
        <v>108730</v>
      </c>
      <c r="D36" s="5">
        <v>83856</v>
      </c>
      <c r="E36" s="5">
        <v>24874</v>
      </c>
      <c r="F36" s="10">
        <v>132312</v>
      </c>
      <c r="G36" s="5">
        <v>88257</v>
      </c>
      <c r="H36" s="5">
        <v>44055</v>
      </c>
      <c r="I36" s="10">
        <v>104920</v>
      </c>
      <c r="J36" s="5">
        <v>92263</v>
      </c>
      <c r="K36" s="5">
        <v>12657</v>
      </c>
      <c r="L36" s="10">
        <v>80648</v>
      </c>
      <c r="M36" s="5">
        <v>89473</v>
      </c>
      <c r="N36" s="5">
        <v>-8825</v>
      </c>
      <c r="O36" s="10">
        <f t="shared" si="0"/>
        <v>81586</v>
      </c>
      <c r="P36" s="97">
        <f t="shared" si="1"/>
        <v>0.30859719264535113</v>
      </c>
      <c r="Q36" s="17" t="s">
        <v>44</v>
      </c>
      <c r="R36" s="91" t="str">
        <f>IF($C$4="High Inventory",IF(AND(O36&gt;=Summary!$C$106,P36&gt;=Summary!$C$107),"X"," "),IF(AND(O36&lt;=-Summary!$C$106,P36&lt;=-Summary!$C$107),"X"," "))</f>
        <v>X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>X</v>
      </c>
      <c r="U36" s="21" t="str">
        <f>IF($C$4="High Inventory",IF(AND($O36&gt;=0,$P36&gt;=Summary!$C$107),"X"," "),IF(AND($O36&lt;=0,$P36&lt;=-Summary!$C$107),"X"," "))</f>
        <v>X</v>
      </c>
      <c r="V36" t="str">
        <f t="shared" si="3"/>
        <v xml:space="preserve"> </v>
      </c>
    </row>
    <row r="37" spans="1:22" x14ac:dyDescent="0.2">
      <c r="A37" s="10">
        <v>1830</v>
      </c>
      <c r="B37" s="5" t="s">
        <v>15</v>
      </c>
      <c r="C37" s="10">
        <v>0</v>
      </c>
      <c r="D37" s="5">
        <v>0</v>
      </c>
      <c r="E37" s="5">
        <v>0</v>
      </c>
      <c r="F37" s="10">
        <v>0</v>
      </c>
      <c r="G37" s="5">
        <v>0</v>
      </c>
      <c r="H37" s="5">
        <v>0</v>
      </c>
      <c r="I37" s="10">
        <v>0</v>
      </c>
      <c r="J37" s="5">
        <v>0</v>
      </c>
      <c r="K37" s="5">
        <v>0</v>
      </c>
      <c r="L37" s="10">
        <v>0</v>
      </c>
      <c r="M37" s="5">
        <v>3756</v>
      </c>
      <c r="N37" s="5">
        <v>-3756</v>
      </c>
      <c r="O37" s="10">
        <f t="shared" si="0"/>
        <v>0</v>
      </c>
      <c r="P37" s="97">
        <f t="shared" si="1"/>
        <v>0</v>
      </c>
      <c r="Q37" s="101" t="str">
        <f>" "</f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">
      <c r="A38" s="10">
        <v>1864</v>
      </c>
      <c r="B38" s="5" t="s">
        <v>15</v>
      </c>
      <c r="C38" s="10">
        <v>341234</v>
      </c>
      <c r="D38" s="5">
        <v>339537</v>
      </c>
      <c r="E38" s="5">
        <v>1697</v>
      </c>
      <c r="F38" s="10">
        <v>326154</v>
      </c>
      <c r="G38" s="5">
        <v>359102</v>
      </c>
      <c r="H38" s="5">
        <v>-32948</v>
      </c>
      <c r="I38" s="10">
        <v>416412</v>
      </c>
      <c r="J38" s="5">
        <v>336715</v>
      </c>
      <c r="K38" s="5">
        <v>79697</v>
      </c>
      <c r="L38" s="10">
        <v>305891</v>
      </c>
      <c r="M38" s="5">
        <v>360303</v>
      </c>
      <c r="N38" s="5">
        <v>-54412</v>
      </c>
      <c r="O38" s="10">
        <f t="shared" si="0"/>
        <v>48446</v>
      </c>
      <c r="P38" s="97">
        <f t="shared" si="1"/>
        <v>4.6791680148354914E-2</v>
      </c>
      <c r="Q38" s="17" t="s">
        <v>44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>X</v>
      </c>
      <c r="U38" s="21" t="str">
        <f>IF($C$4="High Inventory",IF(AND($O38&gt;=0,$P38&gt;=Summary!$C$107),"X"," "),IF(AND($O38&lt;=0,$P38&lt;=-Summary!$C$107),"X"," "))</f>
        <v xml:space="preserve"> </v>
      </c>
      <c r="V38" t="str">
        <f t="shared" si="3"/>
        <v xml:space="preserve"> </v>
      </c>
    </row>
    <row r="39" spans="1:22" x14ac:dyDescent="0.2">
      <c r="A39" s="10">
        <v>1922</v>
      </c>
      <c r="B39" s="5" t="s">
        <v>15</v>
      </c>
      <c r="C39" s="10">
        <v>67709</v>
      </c>
      <c r="D39" s="5">
        <v>51181</v>
      </c>
      <c r="E39" s="5">
        <v>16528</v>
      </c>
      <c r="F39" s="10">
        <v>55879</v>
      </c>
      <c r="G39" s="5">
        <v>50276</v>
      </c>
      <c r="H39" s="5">
        <v>5603</v>
      </c>
      <c r="I39" s="10">
        <v>98848</v>
      </c>
      <c r="J39" s="5">
        <v>36716</v>
      </c>
      <c r="K39" s="5">
        <v>62132</v>
      </c>
      <c r="L39" s="10">
        <v>34840</v>
      </c>
      <c r="M39" s="5">
        <v>40185</v>
      </c>
      <c r="N39" s="5">
        <v>-5345</v>
      </c>
      <c r="O39" s="10">
        <f t="shared" si="0"/>
        <v>84263</v>
      </c>
      <c r="P39" s="97">
        <f t="shared" si="1"/>
        <v>0.60983252999840776</v>
      </c>
      <c r="Q39" s="17" t="s">
        <v>44</v>
      </c>
      <c r="R39" s="91" t="str">
        <f>IF($C$4="High Inventory",IF(AND(O39&gt;=Summary!$C$106,P39&gt;=Summary!$C$107),"X"," "),IF(AND(O39&lt;=-Summary!$C$106,P39&lt;=-Summary!$C$107),"X"," "))</f>
        <v>X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3"/>
        <v xml:space="preserve"> </v>
      </c>
    </row>
    <row r="40" spans="1:22" x14ac:dyDescent="0.2">
      <c r="A40" s="10">
        <v>1928</v>
      </c>
      <c r="B40" s="5" t="s">
        <v>15</v>
      </c>
      <c r="C40" s="10">
        <v>16084</v>
      </c>
      <c r="D40" s="5">
        <v>16278</v>
      </c>
      <c r="E40" s="5">
        <v>-194</v>
      </c>
      <c r="F40" s="10">
        <v>16084</v>
      </c>
      <c r="G40" s="5">
        <v>16349</v>
      </c>
      <c r="H40" s="5">
        <v>-265</v>
      </c>
      <c r="I40" s="10">
        <v>16084</v>
      </c>
      <c r="J40" s="5">
        <v>13352</v>
      </c>
      <c r="K40" s="5">
        <v>2732</v>
      </c>
      <c r="L40" s="10">
        <v>16084</v>
      </c>
      <c r="M40" s="5">
        <v>13847</v>
      </c>
      <c r="N40" s="5">
        <v>2237</v>
      </c>
      <c r="O40" s="10">
        <f t="shared" si="0"/>
        <v>2273</v>
      </c>
      <c r="P40" s="97">
        <f t="shared" si="1"/>
        <v>4.9434536755110919E-2</v>
      </c>
      <c r="Q40" s="101" t="str">
        <f>" "</f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">
      <c r="A41" s="10">
        <v>2056</v>
      </c>
      <c r="B41" s="5" t="s">
        <v>15</v>
      </c>
      <c r="C41" s="10">
        <v>70265</v>
      </c>
      <c r="D41" s="5">
        <v>63266</v>
      </c>
      <c r="E41" s="5">
        <v>6999</v>
      </c>
      <c r="F41" s="10">
        <v>69139</v>
      </c>
      <c r="G41" s="5">
        <v>65038</v>
      </c>
      <c r="H41" s="5">
        <v>4101</v>
      </c>
      <c r="I41" s="10">
        <v>65161</v>
      </c>
      <c r="J41" s="5">
        <v>60604</v>
      </c>
      <c r="K41" s="5">
        <v>4557</v>
      </c>
      <c r="L41" s="10">
        <v>64916</v>
      </c>
      <c r="M41" s="5">
        <v>63063</v>
      </c>
      <c r="N41" s="5">
        <v>1853</v>
      </c>
      <c r="O41" s="10">
        <f t="shared" si="0"/>
        <v>15657</v>
      </c>
      <c r="P41" s="97">
        <f t="shared" si="1"/>
        <v>8.2881175592481038E-2</v>
      </c>
      <c r="Q41" s="101" t="str">
        <f>" "</f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>X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">
      <c r="A42" s="10">
        <v>2280</v>
      </c>
      <c r="B42" s="5" t="s">
        <v>15</v>
      </c>
      <c r="C42" s="10">
        <v>8704</v>
      </c>
      <c r="D42" s="5">
        <v>9545</v>
      </c>
      <c r="E42" s="5">
        <v>-841</v>
      </c>
      <c r="F42" s="10">
        <v>8796</v>
      </c>
      <c r="G42" s="5">
        <v>9985</v>
      </c>
      <c r="H42" s="5">
        <v>-1189</v>
      </c>
      <c r="I42" s="10">
        <v>8796</v>
      </c>
      <c r="J42" s="5">
        <v>6558</v>
      </c>
      <c r="K42" s="5">
        <v>2238</v>
      </c>
      <c r="L42" s="10">
        <v>8796</v>
      </c>
      <c r="M42" s="5">
        <v>5057</v>
      </c>
      <c r="N42" s="5">
        <v>3739</v>
      </c>
      <c r="O42" s="10">
        <f t="shared" si="0"/>
        <v>208</v>
      </c>
      <c r="P42" s="97">
        <f t="shared" si="1"/>
        <v>7.9727088044769818E-3</v>
      </c>
      <c r="Q42" s="101" t="str">
        <f>" "</f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">
      <c r="A43" s="10">
        <v>2584</v>
      </c>
      <c r="B43" s="5" t="s">
        <v>15</v>
      </c>
      <c r="C43" s="10">
        <v>52478</v>
      </c>
      <c r="D43" s="5">
        <v>58431</v>
      </c>
      <c r="E43" s="5">
        <v>-5953</v>
      </c>
      <c r="F43" s="10">
        <v>53183</v>
      </c>
      <c r="G43" s="5">
        <v>56113</v>
      </c>
      <c r="H43" s="5">
        <v>-2930</v>
      </c>
      <c r="I43" s="10">
        <v>52993</v>
      </c>
      <c r="J43" s="5">
        <v>44143</v>
      </c>
      <c r="K43" s="5">
        <v>8850</v>
      </c>
      <c r="L43" s="10">
        <v>53185</v>
      </c>
      <c r="M43" s="5">
        <v>38819</v>
      </c>
      <c r="N43" s="5">
        <v>14366</v>
      </c>
      <c r="O43" s="10">
        <f t="shared" si="0"/>
        <v>-33</v>
      </c>
      <c r="P43" s="97">
        <f t="shared" si="1"/>
        <v>-2.0795523290986087E-4</v>
      </c>
      <c r="Q43" s="101" t="str">
        <f>" "</f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">
      <c r="A44" s="10">
        <v>2771</v>
      </c>
      <c r="B44" s="5" t="s">
        <v>15</v>
      </c>
      <c r="C44" s="10">
        <v>19892</v>
      </c>
      <c r="D44" s="5">
        <v>26001</v>
      </c>
      <c r="E44" s="5">
        <v>-6109</v>
      </c>
      <c r="F44" s="10">
        <v>33483</v>
      </c>
      <c r="G44" s="5">
        <v>23998</v>
      </c>
      <c r="H44" s="5">
        <v>9485</v>
      </c>
      <c r="I44" s="10">
        <v>25420</v>
      </c>
      <c r="J44" s="5">
        <v>18503</v>
      </c>
      <c r="K44" s="5">
        <v>6917</v>
      </c>
      <c r="L44" s="10">
        <v>16651</v>
      </c>
      <c r="M44" s="5">
        <v>16542</v>
      </c>
      <c r="N44" s="5">
        <v>109</v>
      </c>
      <c r="O44" s="10">
        <f t="shared" si="0"/>
        <v>10293</v>
      </c>
      <c r="P44" s="97">
        <f t="shared" si="1"/>
        <v>0.15025619315942368</v>
      </c>
      <c r="Q44" s="17" t="s">
        <v>44</v>
      </c>
      <c r="R44" s="91" t="str">
        <f>IF($C$4="High Inventory",IF(AND(O44&gt;=Summary!$C$106,P44&gt;=Summary!$C$107),"X"," "),IF(AND(O44&lt;=-Summary!$C$106,P44&lt;=-Summary!$C$107),"X"," "))</f>
        <v>X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>X</v>
      </c>
      <c r="U44" s="21" t="str">
        <f>IF($C$4="High Inventory",IF(AND($O44&gt;=0,$P44&gt;=Summary!$C$107),"X"," "),IF(AND($O44&lt;=0,$P44&lt;=-Summary!$C$107),"X"," "))</f>
        <v>X</v>
      </c>
      <c r="V44" t="str">
        <f t="shared" si="4"/>
        <v xml:space="preserve"> </v>
      </c>
    </row>
    <row r="45" spans="1:22" x14ac:dyDescent="0.2">
      <c r="A45" s="10">
        <v>2832</v>
      </c>
      <c r="B45" s="5" t="s">
        <v>15</v>
      </c>
      <c r="C45" s="10">
        <v>5200</v>
      </c>
      <c r="D45" s="5">
        <v>9819</v>
      </c>
      <c r="E45" s="5">
        <v>-4619</v>
      </c>
      <c r="F45" s="10">
        <v>5200</v>
      </c>
      <c r="G45" s="5">
        <v>5344</v>
      </c>
      <c r="H45" s="5">
        <v>-144</v>
      </c>
      <c r="I45" s="10">
        <v>5200</v>
      </c>
      <c r="J45" s="5">
        <v>4326</v>
      </c>
      <c r="K45" s="5">
        <v>874</v>
      </c>
      <c r="L45" s="10">
        <v>5200</v>
      </c>
      <c r="M45" s="5">
        <v>3874</v>
      </c>
      <c r="N45" s="5">
        <v>1326</v>
      </c>
      <c r="O45" s="10">
        <f t="shared" si="0"/>
        <v>-3889</v>
      </c>
      <c r="P45" s="97">
        <f t="shared" si="1"/>
        <v>-0.1995382247306311</v>
      </c>
      <c r="Q45" s="101" t="str">
        <f>" "</f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">
      <c r="A46" s="10">
        <v>2892</v>
      </c>
      <c r="B46" s="5" t="s">
        <v>15</v>
      </c>
      <c r="C46" s="10">
        <v>170</v>
      </c>
      <c r="D46" s="5">
        <v>193</v>
      </c>
      <c r="E46" s="5">
        <v>-23</v>
      </c>
      <c r="F46" s="10">
        <v>170</v>
      </c>
      <c r="G46" s="5">
        <v>185</v>
      </c>
      <c r="H46" s="5">
        <v>-15</v>
      </c>
      <c r="I46" s="10">
        <v>170</v>
      </c>
      <c r="J46" s="5">
        <v>186</v>
      </c>
      <c r="K46" s="5">
        <v>-16</v>
      </c>
      <c r="L46" s="10">
        <v>170</v>
      </c>
      <c r="M46" s="5">
        <v>158</v>
      </c>
      <c r="N46" s="5">
        <v>12</v>
      </c>
      <c r="O46" s="10">
        <f t="shared" si="0"/>
        <v>-54</v>
      </c>
      <c r="P46" s="97">
        <f t="shared" si="1"/>
        <v>-9.5575221238938052E-2</v>
      </c>
      <c r="Q46" s="101" t="str">
        <f>" "</f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">
      <c r="A47" s="10">
        <v>3015</v>
      </c>
      <c r="B47" s="5" t="s">
        <v>15</v>
      </c>
      <c r="C47" s="10">
        <v>20295</v>
      </c>
      <c r="D47" s="5">
        <v>21595</v>
      </c>
      <c r="E47" s="5">
        <v>-1300</v>
      </c>
      <c r="F47" s="10">
        <v>20295</v>
      </c>
      <c r="G47" s="5">
        <v>21289</v>
      </c>
      <c r="H47" s="5">
        <v>-994</v>
      </c>
      <c r="I47" s="10">
        <v>20208</v>
      </c>
      <c r="J47" s="5">
        <v>18161</v>
      </c>
      <c r="K47" s="5">
        <v>2047</v>
      </c>
      <c r="L47" s="10">
        <v>19968</v>
      </c>
      <c r="M47" s="5">
        <v>18759</v>
      </c>
      <c r="N47" s="5">
        <v>1209</v>
      </c>
      <c r="O47" s="10">
        <f t="shared" si="0"/>
        <v>-247</v>
      </c>
      <c r="P47" s="97">
        <f t="shared" si="1"/>
        <v>-4.0461291485109586E-3</v>
      </c>
      <c r="Q47" s="101" t="str">
        <f>" "</f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">
      <c r="A48" s="10">
        <v>4303</v>
      </c>
      <c r="B48" s="5" t="s">
        <v>15</v>
      </c>
      <c r="C48" s="10">
        <v>3227</v>
      </c>
      <c r="D48" s="5">
        <v>3245</v>
      </c>
      <c r="E48" s="5">
        <v>-18</v>
      </c>
      <c r="F48" s="10">
        <v>3227</v>
      </c>
      <c r="G48" s="5">
        <v>2924</v>
      </c>
      <c r="H48" s="5">
        <v>303</v>
      </c>
      <c r="I48" s="10">
        <v>3227</v>
      </c>
      <c r="J48" s="5">
        <v>2178</v>
      </c>
      <c r="K48" s="5">
        <v>1049</v>
      </c>
      <c r="L48" s="10">
        <v>3227</v>
      </c>
      <c r="M48" s="5">
        <v>1781</v>
      </c>
      <c r="N48" s="5">
        <v>1446</v>
      </c>
      <c r="O48" s="10">
        <f t="shared" si="0"/>
        <v>1334</v>
      </c>
      <c r="P48" s="97">
        <f t="shared" si="1"/>
        <v>0.15979875419262099</v>
      </c>
      <c r="Q48" s="101" t="str">
        <f>" "</f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>X</v>
      </c>
      <c r="V48" t="str">
        <f t="shared" si="4"/>
        <v xml:space="preserve"> </v>
      </c>
    </row>
    <row r="49" spans="1:22" x14ac:dyDescent="0.2">
      <c r="A49" s="10">
        <v>4438</v>
      </c>
      <c r="B49" s="5" t="s">
        <v>15</v>
      </c>
      <c r="C49" s="10">
        <v>59921</v>
      </c>
      <c r="D49" s="5">
        <v>61112</v>
      </c>
      <c r="E49" s="5">
        <v>-1191</v>
      </c>
      <c r="F49" s="10">
        <v>59921</v>
      </c>
      <c r="G49" s="5">
        <v>59989</v>
      </c>
      <c r="H49" s="5">
        <v>-68</v>
      </c>
      <c r="I49" s="10">
        <v>59921</v>
      </c>
      <c r="J49" s="5">
        <v>56293</v>
      </c>
      <c r="K49" s="5">
        <v>3628</v>
      </c>
      <c r="L49" s="10">
        <v>54923</v>
      </c>
      <c r="M49" s="5">
        <v>56490</v>
      </c>
      <c r="N49" s="5">
        <v>-1567</v>
      </c>
      <c r="O49" s="10">
        <f t="shared" si="0"/>
        <v>2369</v>
      </c>
      <c r="P49" s="97">
        <f t="shared" si="1"/>
        <v>1.3354378646523295E-2</v>
      </c>
      <c r="Q49" s="17" t="s">
        <v>44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">
      <c r="A50" s="10">
        <v>4760</v>
      </c>
      <c r="B50" s="5" t="s">
        <v>15</v>
      </c>
      <c r="C50" s="10">
        <v>212576</v>
      </c>
      <c r="D50" s="5">
        <v>229991</v>
      </c>
      <c r="E50" s="5">
        <v>-17415</v>
      </c>
      <c r="F50" s="10">
        <v>240933</v>
      </c>
      <c r="G50" s="5">
        <v>227486</v>
      </c>
      <c r="H50" s="5">
        <v>13447</v>
      </c>
      <c r="I50" s="10">
        <v>185448</v>
      </c>
      <c r="J50" s="5">
        <v>155799</v>
      </c>
      <c r="K50" s="5">
        <v>29649</v>
      </c>
      <c r="L50" s="10">
        <v>181297</v>
      </c>
      <c r="M50" s="5">
        <v>183804</v>
      </c>
      <c r="N50" s="5">
        <v>-2507</v>
      </c>
      <c r="O50" s="10">
        <f t="shared" si="0"/>
        <v>25681</v>
      </c>
      <c r="P50" s="97">
        <f t="shared" si="1"/>
        <v>4.1875041783729049E-2</v>
      </c>
      <c r="Q50" s="17" t="s">
        <v>44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>X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">
      <c r="A51" s="10">
        <v>6084</v>
      </c>
      <c r="B51" s="5" t="s">
        <v>15</v>
      </c>
      <c r="C51" s="10">
        <v>0</v>
      </c>
      <c r="D51" s="5">
        <v>55</v>
      </c>
      <c r="E51" s="5">
        <v>-55</v>
      </c>
      <c r="F51" s="10">
        <v>0</v>
      </c>
      <c r="G51" s="5">
        <v>8</v>
      </c>
      <c r="H51" s="5">
        <v>-8</v>
      </c>
      <c r="I51" s="10">
        <v>0</v>
      </c>
      <c r="J51" s="5">
        <v>2</v>
      </c>
      <c r="K51" s="5">
        <v>-2</v>
      </c>
      <c r="L51" s="10">
        <v>0</v>
      </c>
      <c r="M51" s="5">
        <v>2</v>
      </c>
      <c r="N51" s="5">
        <v>-2</v>
      </c>
      <c r="O51" s="10">
        <f t="shared" si="0"/>
        <v>-65</v>
      </c>
      <c r="P51" s="97">
        <f t="shared" si="1"/>
        <v>-0.98484848484848486</v>
      </c>
      <c r="Q51" s="101" t="str">
        <f t="shared" ref="Q51:Q75" si="5">" "</f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">
      <c r="A52" s="10">
        <v>6728</v>
      </c>
      <c r="B52" s="5" t="s">
        <v>15</v>
      </c>
      <c r="C52" s="10">
        <v>12000</v>
      </c>
      <c r="D52" s="5">
        <v>7507</v>
      </c>
      <c r="E52" s="5">
        <v>4493</v>
      </c>
      <c r="F52" s="10">
        <v>12000</v>
      </c>
      <c r="G52" s="5">
        <v>8574</v>
      </c>
      <c r="H52" s="5">
        <v>3426</v>
      </c>
      <c r="I52" s="10">
        <v>12000</v>
      </c>
      <c r="J52" s="5">
        <v>10198</v>
      </c>
      <c r="K52" s="5">
        <v>1802</v>
      </c>
      <c r="L52" s="10">
        <v>12000</v>
      </c>
      <c r="M52" s="5">
        <v>8572</v>
      </c>
      <c r="N52" s="5">
        <v>3428</v>
      </c>
      <c r="O52" s="10">
        <f t="shared" si="0"/>
        <v>9721</v>
      </c>
      <c r="P52" s="97">
        <f t="shared" si="1"/>
        <v>0.36990106544901064</v>
      </c>
      <c r="Q52" s="101" t="str">
        <f t="shared" si="5"/>
        <v xml:space="preserve"> </v>
      </c>
      <c r="R52" s="91" t="str">
        <f>IF($C$4="High Inventory",IF(AND(O52&gt;=Summary!$C$106,P52&gt;=Summary!$C$107),"X"," "),IF(AND(O52&lt;=-Summary!$C$106,P52&lt;=-Summary!$C$107),"X"," "))</f>
        <v>X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>X</v>
      </c>
      <c r="U52" s="21" t="str">
        <f>IF($C$4="High Inventory",IF(AND($O52&gt;=0,$P52&gt;=Summary!$C$107),"X"," "),IF(AND($O52&lt;=0,$P52&lt;=-Summary!$C$107),"X"," "))</f>
        <v>X</v>
      </c>
      <c r="V52" t="str">
        <f t="shared" si="4"/>
        <v xml:space="preserve"> </v>
      </c>
    </row>
    <row r="53" spans="1:22" x14ac:dyDescent="0.2">
      <c r="A53" s="10">
        <v>12296</v>
      </c>
      <c r="B53" s="5" t="s">
        <v>15</v>
      </c>
      <c r="C53" s="10">
        <v>27432</v>
      </c>
      <c r="D53" s="5">
        <v>27904</v>
      </c>
      <c r="E53" s="5">
        <v>-472</v>
      </c>
      <c r="F53" s="10">
        <v>27432</v>
      </c>
      <c r="G53" s="5">
        <v>27414</v>
      </c>
      <c r="H53" s="5">
        <v>18</v>
      </c>
      <c r="I53" s="10">
        <v>27432</v>
      </c>
      <c r="J53" s="5">
        <v>25914</v>
      </c>
      <c r="K53" s="5">
        <v>1518</v>
      </c>
      <c r="L53" s="10">
        <v>22259</v>
      </c>
      <c r="M53" s="5">
        <v>24147</v>
      </c>
      <c r="N53" s="5">
        <v>-1888</v>
      </c>
      <c r="O53" s="10">
        <f t="shared" si="0"/>
        <v>1064</v>
      </c>
      <c r="P53" s="97">
        <f t="shared" si="1"/>
        <v>1.3098125146184433E-2</v>
      </c>
      <c r="Q53" s="101" t="str">
        <f t="shared" si="5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hidden="1" x14ac:dyDescent="0.2">
      <c r="A54" s="10"/>
      <c r="B54" s="5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ref="O54:O62" si="6">K54+H54+E54</f>
        <v>0</v>
      </c>
      <c r="P54" s="97">
        <f t="shared" ref="P54:P62" si="7">O54/(J54+G54+D54+1)</f>
        <v>0</v>
      </c>
      <c r="Q54" s="101" t="str">
        <f t="shared" si="5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4"/>
        <v xml:space="preserve"> </v>
      </c>
    </row>
    <row r="55" spans="1:22" hidden="1" x14ac:dyDescent="0.2">
      <c r="A55" s="10"/>
      <c r="B55" s="5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6"/>
        <v>0</v>
      </c>
      <c r="P55" s="97">
        <f t="shared" si="7"/>
        <v>0</v>
      </c>
      <c r="Q55" s="101" t="str">
        <f t="shared" si="5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">
      <c r="A56" s="10"/>
      <c r="B56" s="5"/>
      <c r="C56" s="15">
        <v>36664</v>
      </c>
      <c r="D56" s="5"/>
      <c r="E56" s="6"/>
      <c r="F56" s="15">
        <v>36665</v>
      </c>
      <c r="G56" s="5"/>
      <c r="H56" s="6"/>
      <c r="I56" s="15">
        <v>36666</v>
      </c>
      <c r="J56" s="5"/>
      <c r="K56" s="6"/>
      <c r="L56" s="15">
        <v>36667</v>
      </c>
      <c r="M56" s="5"/>
      <c r="N56" s="6"/>
      <c r="O56" s="10">
        <f t="shared" si="6"/>
        <v>0</v>
      </c>
      <c r="P56" s="97">
        <f t="shared" si="7"/>
        <v>0</v>
      </c>
      <c r="Q56" s="101" t="str">
        <f t="shared" si="5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">
      <c r="A57" s="10" t="s">
        <v>6</v>
      </c>
      <c r="B57" s="5" t="s">
        <v>7</v>
      </c>
      <c r="C57" s="15" t="s">
        <v>37</v>
      </c>
      <c r="D57" s="5" t="s">
        <v>40</v>
      </c>
      <c r="E57" s="5" t="s">
        <v>41</v>
      </c>
      <c r="F57" s="15" t="s">
        <v>37</v>
      </c>
      <c r="G57" s="5" t="s">
        <v>40</v>
      </c>
      <c r="H57" s="5" t="s">
        <v>41</v>
      </c>
      <c r="I57" s="15" t="s">
        <v>37</v>
      </c>
      <c r="J57" s="5" t="s">
        <v>40</v>
      </c>
      <c r="K57" s="5" t="s">
        <v>41</v>
      </c>
      <c r="L57" s="15" t="s">
        <v>37</v>
      </c>
      <c r="M57" s="5" t="s">
        <v>40</v>
      </c>
      <c r="N57" s="5" t="s">
        <v>41</v>
      </c>
      <c r="O57" s="10" t="e">
        <f t="shared" si="6"/>
        <v>#VALUE!</v>
      </c>
      <c r="P57" s="97" t="e">
        <f t="shared" si="7"/>
        <v>#VALUE!</v>
      </c>
      <c r="Q57" s="101" t="str">
        <f t="shared" si="5"/>
        <v xml:space="preserve"> </v>
      </c>
      <c r="R57" s="91" t="e">
        <f>IF($C$4="High Inventory",IF(AND(O57&gt;=Summary!$C$106,P57&gt;=Summary!$C$107),"X"," "),IF(AND(O57&lt;=-Summary!$C$106,P57&lt;=-Summary!$C$107),"X"," "))</f>
        <v>#VALUE!</v>
      </c>
      <c r="S57" s="21" t="e">
        <f>IF(AND(L57-I57&gt;=Summary!$C$110,N57-K57&gt;Summary!$C$110,N57&gt;0),"X"," ")</f>
        <v>#VALUE!</v>
      </c>
      <c r="T57" s="17" t="e">
        <f>IF($C$4="High Inventory",IF(AND($O57&gt;=Summary!$C$106,$P57&gt;=0%),"X"," "),IF(AND($O57&lt;=-Summary!$C$106,$P57&lt;=0%),"X"," "))</f>
        <v>#VALUE!</v>
      </c>
      <c r="U57" s="21" t="e">
        <f>IF($C$4="High Inventory",IF(AND($O57&gt;=0,$P57&gt;=Summary!$C$107),"X"," "),IF(AND($O57&lt;=0,$P57&lt;=-Summary!$C$107),"X"," "))</f>
        <v>#VALUE!</v>
      </c>
      <c r="V57" t="e">
        <f t="shared" si="4"/>
        <v>#VALUE!</v>
      </c>
    </row>
    <row r="58" spans="1:22" x14ac:dyDescent="0.2">
      <c r="A58" s="10">
        <v>51</v>
      </c>
      <c r="B58" s="5" t="s">
        <v>17</v>
      </c>
      <c r="C58" s="10">
        <v>12566</v>
      </c>
      <c r="D58" s="5">
        <v>10255</v>
      </c>
      <c r="E58" s="5">
        <v>2311</v>
      </c>
      <c r="F58" s="10">
        <v>12566</v>
      </c>
      <c r="G58" s="5">
        <v>10943</v>
      </c>
      <c r="H58" s="5">
        <v>1623</v>
      </c>
      <c r="I58" s="10">
        <v>12566</v>
      </c>
      <c r="J58" s="5">
        <v>6818</v>
      </c>
      <c r="K58" s="5">
        <v>5748</v>
      </c>
      <c r="L58" s="10">
        <v>12566</v>
      </c>
      <c r="M58" s="5">
        <v>6252</v>
      </c>
      <c r="N58" s="5">
        <v>6314</v>
      </c>
      <c r="O58" s="10">
        <f t="shared" si="6"/>
        <v>9682</v>
      </c>
      <c r="P58" s="97">
        <f t="shared" si="7"/>
        <v>0.34557590034621838</v>
      </c>
      <c r="Q58" s="101" t="str">
        <f t="shared" si="5"/>
        <v xml:space="preserve"> </v>
      </c>
      <c r="R58" s="91" t="str">
        <f>IF($C$4="High Inventory",IF(AND(O58&gt;=Summary!$C$106,P58&gt;=Summary!$C$107),"X"," "),IF(AND(O58&lt;=-Summary!$C$106,P58&lt;=-Summary!$C$107),"X"," "))</f>
        <v>X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>X</v>
      </c>
      <c r="U58" s="21" t="str">
        <f>IF($C$4="High Inventory",IF(AND($O58&gt;=0,$P58&gt;=Summary!$C$107),"X"," "),IF(AND($O58&lt;=0,$P58&lt;=-Summary!$C$107),"X"," "))</f>
        <v>X</v>
      </c>
      <c r="V58" t="str">
        <f t="shared" si="4"/>
        <v xml:space="preserve"> </v>
      </c>
    </row>
    <row r="59" spans="1:22" x14ac:dyDescent="0.2">
      <c r="A59" s="10">
        <v>282</v>
      </c>
      <c r="B59" s="5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6"/>
        <v>0</v>
      </c>
      <c r="P59" s="97">
        <f t="shared" si="7"/>
        <v>0</v>
      </c>
      <c r="Q59" s="101" t="str">
        <f t="shared" si="5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4"/>
        <v xml:space="preserve"> </v>
      </c>
    </row>
    <row r="60" spans="1:22" x14ac:dyDescent="0.2">
      <c r="A60" s="10">
        <v>289</v>
      </c>
      <c r="B60" s="5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si="6"/>
        <v>0</v>
      </c>
      <c r="P60" s="97">
        <f t="shared" si="7"/>
        <v>0</v>
      </c>
      <c r="Q60" s="101" t="str">
        <f t="shared" si="5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">
      <c r="A61" s="10">
        <v>476</v>
      </c>
      <c r="B61" s="5" t="s">
        <v>17</v>
      </c>
      <c r="C61" s="10">
        <v>0</v>
      </c>
      <c r="D61" s="5">
        <v>1077</v>
      </c>
      <c r="E61" s="5">
        <v>-1077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 t="shared" si="6"/>
        <v>-1077</v>
      </c>
      <c r="P61" s="97">
        <f t="shared" si="7"/>
        <v>-0.9990723562152134</v>
      </c>
      <c r="Q61" s="101" t="str">
        <f t="shared" si="5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">
      <c r="A62" s="10">
        <v>512</v>
      </c>
      <c r="B62" s="5" t="s">
        <v>17</v>
      </c>
      <c r="C62" s="10">
        <v>4308</v>
      </c>
      <c r="D62" s="5">
        <v>4597</v>
      </c>
      <c r="E62" s="5">
        <v>-289</v>
      </c>
      <c r="F62" s="10">
        <v>4308</v>
      </c>
      <c r="G62" s="5">
        <v>3097</v>
      </c>
      <c r="H62" s="5">
        <v>1211</v>
      </c>
      <c r="I62" s="10">
        <v>4308</v>
      </c>
      <c r="J62" s="5">
        <v>3127</v>
      </c>
      <c r="K62" s="5">
        <v>1181</v>
      </c>
      <c r="L62" s="10">
        <v>4308</v>
      </c>
      <c r="M62" s="5">
        <v>3060</v>
      </c>
      <c r="N62" s="5">
        <v>1248</v>
      </c>
      <c r="O62" s="10">
        <f t="shared" si="6"/>
        <v>2103</v>
      </c>
      <c r="P62" s="97">
        <f t="shared" si="7"/>
        <v>0.19432637220476806</v>
      </c>
      <c r="Q62" s="101" t="str">
        <f t="shared" si="5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>X</v>
      </c>
      <c r="V62" t="str">
        <f t="shared" si="4"/>
        <v xml:space="preserve"> </v>
      </c>
    </row>
    <row r="63" spans="1:22" x14ac:dyDescent="0.2">
      <c r="A63" s="10">
        <v>589</v>
      </c>
      <c r="B63" s="5" t="s">
        <v>17</v>
      </c>
      <c r="C63" s="10">
        <v>0</v>
      </c>
      <c r="D63" s="5">
        <v>80</v>
      </c>
      <c r="E63" s="5">
        <v>-80</v>
      </c>
      <c r="F63" s="10">
        <v>0</v>
      </c>
      <c r="G63" s="5">
        <v>79</v>
      </c>
      <c r="H63" s="5">
        <v>-79</v>
      </c>
      <c r="I63" s="10">
        <v>0</v>
      </c>
      <c r="J63" s="5">
        <v>56</v>
      </c>
      <c r="K63" s="5">
        <v>-56</v>
      </c>
      <c r="L63" s="10">
        <v>0</v>
      </c>
      <c r="M63" s="5">
        <v>53</v>
      </c>
      <c r="N63" s="5">
        <v>-53</v>
      </c>
      <c r="O63" s="10">
        <f t="shared" ref="O63:O85" si="8">K63+H63+E63</f>
        <v>-215</v>
      </c>
      <c r="P63" s="97">
        <f t="shared" ref="P63:P85" si="9">O63/(J63+G63+D63+1)</f>
        <v>-0.99537037037037035</v>
      </c>
      <c r="Q63" s="101" t="str">
        <f t="shared" si="5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">
      <c r="A64" s="10">
        <v>757</v>
      </c>
      <c r="B64" s="5" t="s">
        <v>17</v>
      </c>
      <c r="C64" s="10">
        <v>0</v>
      </c>
      <c r="D64" s="5">
        <v>571</v>
      </c>
      <c r="E64" s="5">
        <v>-571</v>
      </c>
      <c r="F64" s="10">
        <v>0</v>
      </c>
      <c r="G64" s="5">
        <v>573</v>
      </c>
      <c r="H64" s="5">
        <v>-573</v>
      </c>
      <c r="I64" s="10">
        <v>0</v>
      </c>
      <c r="J64" s="5">
        <v>570</v>
      </c>
      <c r="K64" s="5">
        <v>-570</v>
      </c>
      <c r="L64" s="10">
        <v>414</v>
      </c>
      <c r="M64" s="5">
        <v>567</v>
      </c>
      <c r="N64" s="5">
        <v>-153</v>
      </c>
      <c r="O64" s="10">
        <f>K64+H64+E64</f>
        <v>-1714</v>
      </c>
      <c r="P64" s="97">
        <f>O64/(J64+G64+D64+1)</f>
        <v>-0.99941690962099128</v>
      </c>
      <c r="Q64" s="101" t="str">
        <f t="shared" si="5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">
      <c r="A65" s="10">
        <v>761</v>
      </c>
      <c r="B65" s="5" t="s">
        <v>17</v>
      </c>
      <c r="C65" s="10">
        <v>0</v>
      </c>
      <c r="D65" s="5">
        <v>6</v>
      </c>
      <c r="E65" s="5">
        <v>-6</v>
      </c>
      <c r="F65" s="10">
        <v>0</v>
      </c>
      <c r="G65" s="5">
        <v>6</v>
      </c>
      <c r="H65" s="5">
        <v>-6</v>
      </c>
      <c r="I65" s="10">
        <v>0</v>
      </c>
      <c r="J65" s="5">
        <v>6</v>
      </c>
      <c r="K65" s="5">
        <v>-6</v>
      </c>
      <c r="L65" s="10">
        <v>0</v>
      </c>
      <c r="M65" s="5">
        <v>6</v>
      </c>
      <c r="N65" s="5">
        <v>-6</v>
      </c>
      <c r="O65" s="10">
        <f>K65+H65+E65</f>
        <v>-18</v>
      </c>
      <c r="P65" s="97">
        <f>O65/(J65+G65+D65+1)</f>
        <v>-0.94736842105263153</v>
      </c>
      <c r="Q65" s="101" t="str">
        <f t="shared" si="5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">
      <c r="A66" s="10">
        <v>764</v>
      </c>
      <c r="B66" s="5" t="s">
        <v>17</v>
      </c>
      <c r="C66" s="10">
        <v>196</v>
      </c>
      <c r="D66" s="5">
        <v>187</v>
      </c>
      <c r="E66" s="5">
        <v>9</v>
      </c>
      <c r="F66" s="10">
        <v>196</v>
      </c>
      <c r="G66" s="5">
        <v>189</v>
      </c>
      <c r="H66" s="5">
        <v>7</v>
      </c>
      <c r="I66" s="10">
        <v>196</v>
      </c>
      <c r="J66" s="5">
        <v>195</v>
      </c>
      <c r="K66" s="5">
        <v>1</v>
      </c>
      <c r="L66" s="10">
        <v>196</v>
      </c>
      <c r="M66" s="5">
        <v>181</v>
      </c>
      <c r="N66" s="5">
        <v>15</v>
      </c>
      <c r="O66" s="10">
        <f t="shared" si="8"/>
        <v>17</v>
      </c>
      <c r="P66" s="97">
        <f t="shared" si="9"/>
        <v>2.972027972027972E-2</v>
      </c>
      <c r="Q66" s="101" t="str">
        <f t="shared" si="5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 xml:space="preserve"> </v>
      </c>
      <c r="V66" t="str">
        <f t="shared" si="4"/>
        <v xml:space="preserve"> </v>
      </c>
    </row>
    <row r="67" spans="1:22" x14ac:dyDescent="0.2">
      <c r="A67" s="10">
        <v>765</v>
      </c>
      <c r="B67" s="5" t="s">
        <v>17</v>
      </c>
      <c r="C67" s="10">
        <v>7271</v>
      </c>
      <c r="D67" s="5">
        <v>7363</v>
      </c>
      <c r="E67" s="5">
        <v>-92</v>
      </c>
      <c r="F67" s="10">
        <v>7271</v>
      </c>
      <c r="G67" s="5">
        <v>7391</v>
      </c>
      <c r="H67" s="5">
        <v>-120</v>
      </c>
      <c r="I67" s="10">
        <v>7271</v>
      </c>
      <c r="J67" s="5">
        <v>7327</v>
      </c>
      <c r="K67" s="5">
        <v>-56</v>
      </c>
      <c r="L67" s="10">
        <v>7271</v>
      </c>
      <c r="M67" s="5">
        <v>7293</v>
      </c>
      <c r="N67" s="5">
        <v>-22</v>
      </c>
      <c r="O67" s="10">
        <f t="shared" si="8"/>
        <v>-268</v>
      </c>
      <c r="P67" s="97">
        <f t="shared" si="9"/>
        <v>-1.2136581831355856E-2</v>
      </c>
      <c r="Q67" s="101" t="str">
        <f t="shared" si="5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">
      <c r="A68" s="10">
        <v>779</v>
      </c>
      <c r="B68" s="5" t="s">
        <v>17</v>
      </c>
      <c r="C68" s="10">
        <v>800</v>
      </c>
      <c r="D68" s="5">
        <v>1256</v>
      </c>
      <c r="E68" s="5">
        <v>-456</v>
      </c>
      <c r="F68" s="10">
        <v>800</v>
      </c>
      <c r="G68" s="5">
        <v>1204</v>
      </c>
      <c r="H68" s="5">
        <v>-404</v>
      </c>
      <c r="I68" s="10">
        <v>800</v>
      </c>
      <c r="J68" s="5">
        <v>1326</v>
      </c>
      <c r="K68" s="5">
        <v>-526</v>
      </c>
      <c r="L68" s="10">
        <v>800</v>
      </c>
      <c r="M68" s="5">
        <v>316</v>
      </c>
      <c r="N68" s="5">
        <v>484</v>
      </c>
      <c r="O68" s="10">
        <f>K68+H68+E68</f>
        <v>-1386</v>
      </c>
      <c r="P68" s="97">
        <f>O68/(J68+G68+D68+1)</f>
        <v>-0.36598890942698709</v>
      </c>
      <c r="Q68" s="101" t="str">
        <f t="shared" si="5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">
      <c r="A69" s="10">
        <v>804</v>
      </c>
      <c r="B69" s="5" t="s">
        <v>17</v>
      </c>
      <c r="C69" s="10">
        <v>0</v>
      </c>
      <c r="D69" s="5">
        <v>180</v>
      </c>
      <c r="E69" s="5">
        <v>-180</v>
      </c>
      <c r="F69" s="10">
        <v>0</v>
      </c>
      <c r="G69" s="5">
        <v>174</v>
      </c>
      <c r="H69" s="5">
        <v>-174</v>
      </c>
      <c r="I69" s="10">
        <v>0</v>
      </c>
      <c r="J69" s="5">
        <v>148</v>
      </c>
      <c r="K69" s="5">
        <v>-148</v>
      </c>
      <c r="L69" s="10">
        <v>0</v>
      </c>
      <c r="M69" s="5">
        <v>169</v>
      </c>
      <c r="N69" s="5">
        <v>-169</v>
      </c>
      <c r="O69" s="10">
        <f t="shared" si="8"/>
        <v>-502</v>
      </c>
      <c r="P69" s="97">
        <f t="shared" si="9"/>
        <v>-0.99801192842942343</v>
      </c>
      <c r="Q69" s="101" t="str">
        <f t="shared" si="5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">
      <c r="A70" s="10">
        <v>899</v>
      </c>
      <c r="B70" s="5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7">
        <f>O70/(J70+G70+D70+1)</f>
        <v>0</v>
      </c>
      <c r="Q70" s="101" t="str">
        <f t="shared" si="5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">
      <c r="A71" s="10">
        <v>928</v>
      </c>
      <c r="B71" s="5" t="s">
        <v>17</v>
      </c>
      <c r="C71" s="10">
        <v>190</v>
      </c>
      <c r="D71" s="5">
        <v>195</v>
      </c>
      <c r="E71" s="5">
        <v>-5</v>
      </c>
      <c r="F71" s="10">
        <v>127</v>
      </c>
      <c r="G71" s="5">
        <v>192</v>
      </c>
      <c r="H71" s="5">
        <v>-65</v>
      </c>
      <c r="I71" s="10">
        <v>190</v>
      </c>
      <c r="J71" s="5">
        <v>190</v>
      </c>
      <c r="K71" s="5">
        <v>0</v>
      </c>
      <c r="L71" s="10">
        <v>190</v>
      </c>
      <c r="M71" s="5">
        <v>190</v>
      </c>
      <c r="N71" s="5">
        <v>0</v>
      </c>
      <c r="O71" s="10">
        <f>K71+H71+E71</f>
        <v>-70</v>
      </c>
      <c r="P71" s="97">
        <f>O71/(J71+G71+D71+1)</f>
        <v>-0.12110726643598616</v>
      </c>
      <c r="Q71" s="101" t="str">
        <f t="shared" si="5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">
      <c r="A72" s="10">
        <v>997</v>
      </c>
      <c r="B72" s="5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 t="shared" si="8"/>
        <v>0</v>
      </c>
      <c r="P72" s="97">
        <f t="shared" si="9"/>
        <v>0</v>
      </c>
      <c r="Q72" s="101" t="str">
        <f t="shared" si="5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">
      <c r="A73" s="10">
        <v>5342</v>
      </c>
      <c r="B73" s="5" t="s">
        <v>17</v>
      </c>
      <c r="C73" s="10">
        <v>0</v>
      </c>
      <c r="D73" s="5">
        <v>0</v>
      </c>
      <c r="E73" s="5">
        <v>0</v>
      </c>
      <c r="F73" s="10">
        <v>0</v>
      </c>
      <c r="G73" s="5">
        <v>0</v>
      </c>
      <c r="H73" s="5">
        <v>0</v>
      </c>
      <c r="I73" s="10">
        <v>0</v>
      </c>
      <c r="J73" s="5">
        <v>0</v>
      </c>
      <c r="K73" s="5">
        <v>0</v>
      </c>
      <c r="L73" s="10">
        <v>0</v>
      </c>
      <c r="M73" s="5">
        <v>0</v>
      </c>
      <c r="N73" s="5">
        <v>0</v>
      </c>
      <c r="O73" s="10">
        <f>K73+H73+E73</f>
        <v>0</v>
      </c>
      <c r="P73" s="97">
        <f>O73/(J73+G73+D73+1)</f>
        <v>0</v>
      </c>
      <c r="Q73" s="101" t="str">
        <f t="shared" si="5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4"/>
        <v xml:space="preserve"> </v>
      </c>
    </row>
    <row r="74" spans="1:22" x14ac:dyDescent="0.2">
      <c r="A74" s="10">
        <v>5379</v>
      </c>
      <c r="B74" s="5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>K74+H74+E74</f>
        <v>0</v>
      </c>
      <c r="P74" s="97">
        <f>O74/(J74+G74+D74+1)</f>
        <v>0</v>
      </c>
      <c r="Q74" s="101" t="str">
        <f t="shared" si="5"/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87" si="10">IF(S74 = "X",L74-I74," ")</f>
        <v xml:space="preserve"> </v>
      </c>
    </row>
    <row r="75" spans="1:22" x14ac:dyDescent="0.2">
      <c r="A75" s="10">
        <v>7088</v>
      </c>
      <c r="B75" s="5" t="s">
        <v>17</v>
      </c>
      <c r="C75" s="10">
        <v>0</v>
      </c>
      <c r="D75" s="5">
        <v>27</v>
      </c>
      <c r="E75" s="5">
        <v>-27</v>
      </c>
      <c r="F75" s="10">
        <v>0</v>
      </c>
      <c r="G75" s="5">
        <v>10</v>
      </c>
      <c r="H75" s="5">
        <v>-10</v>
      </c>
      <c r="I75" s="10">
        <v>0</v>
      </c>
      <c r="J75" s="5">
        <v>7</v>
      </c>
      <c r="K75" s="5">
        <v>-7</v>
      </c>
      <c r="L75" s="10">
        <v>0</v>
      </c>
      <c r="M75" s="5">
        <v>6</v>
      </c>
      <c r="N75" s="5">
        <v>-6</v>
      </c>
      <c r="O75" s="10">
        <f t="shared" si="8"/>
        <v>-44</v>
      </c>
      <c r="P75" s="97">
        <f t="shared" si="9"/>
        <v>-0.97777777777777775</v>
      </c>
      <c r="Q75" s="101" t="str">
        <f t="shared" si="5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">
      <c r="A76" s="10">
        <v>7602</v>
      </c>
      <c r="B76" s="5" t="s">
        <v>17</v>
      </c>
      <c r="C76" s="10">
        <v>29456</v>
      </c>
      <c r="D76" s="5">
        <v>37159</v>
      </c>
      <c r="E76" s="5">
        <v>-7703</v>
      </c>
      <c r="F76" s="10">
        <v>44397</v>
      </c>
      <c r="G76" s="5">
        <v>37702</v>
      </c>
      <c r="H76" s="5">
        <v>6695</v>
      </c>
      <c r="I76" s="10">
        <v>53972</v>
      </c>
      <c r="J76" s="5">
        <v>35115</v>
      </c>
      <c r="K76" s="5">
        <v>18857</v>
      </c>
      <c r="L76" s="10">
        <v>33000</v>
      </c>
      <c r="M76" s="5">
        <v>34436</v>
      </c>
      <c r="N76" s="5">
        <v>-1436</v>
      </c>
      <c r="O76" s="10">
        <f t="shared" si="8"/>
        <v>17849</v>
      </c>
      <c r="P76" s="97">
        <f t="shared" si="9"/>
        <v>0.1622975713103649</v>
      </c>
      <c r="Q76" s="17" t="s">
        <v>44</v>
      </c>
      <c r="R76" s="91" t="str">
        <f>IF($C$4="High Inventory",IF(AND(O76&gt;=Summary!$C$106,P76&gt;=Summary!$C$107),"X"," "),IF(AND(O76&lt;=-Summary!$C$106,P76&lt;=-Summary!$C$107),"X"," "))</f>
        <v>X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>X</v>
      </c>
      <c r="U76" s="21" t="str">
        <f>IF($C$4="High Inventory",IF(AND($O76&gt;=0,$P76&gt;=Summary!$C$107),"X"," "),IF(AND($O76&lt;=0,$P76&lt;=-Summary!$C$107),"X"," "))</f>
        <v>X</v>
      </c>
      <c r="V76" t="str">
        <f t="shared" si="10"/>
        <v xml:space="preserve"> </v>
      </c>
    </row>
    <row r="77" spans="1:22" x14ac:dyDescent="0.2">
      <c r="A77" s="10">
        <v>7604</v>
      </c>
      <c r="B77" s="5" t="s">
        <v>17</v>
      </c>
      <c r="C77" s="10">
        <v>108682</v>
      </c>
      <c r="D77" s="5">
        <v>60680</v>
      </c>
      <c r="E77" s="5">
        <v>48002</v>
      </c>
      <c r="F77" s="10">
        <v>83366</v>
      </c>
      <c r="G77" s="5">
        <v>61582</v>
      </c>
      <c r="H77" s="5">
        <v>21784</v>
      </c>
      <c r="I77" s="10">
        <v>88104</v>
      </c>
      <c r="J77" s="5">
        <v>65797</v>
      </c>
      <c r="K77" s="5">
        <v>22307</v>
      </c>
      <c r="L77" s="10">
        <v>80934</v>
      </c>
      <c r="M77" s="5">
        <v>65209</v>
      </c>
      <c r="N77" s="5">
        <v>15725</v>
      </c>
      <c r="O77" s="10">
        <f t="shared" si="8"/>
        <v>92093</v>
      </c>
      <c r="P77" s="97">
        <f t="shared" si="9"/>
        <v>0.48970009571413381</v>
      </c>
      <c r="Q77" s="101" t="str">
        <f t="shared" ref="Q77:Q86" si="11">" "</f>
        <v xml:space="preserve"> </v>
      </c>
      <c r="R77" s="91" t="str">
        <f>IF($C$4="High Inventory",IF(AND(O77&gt;=Summary!$C$106,P77&gt;=Summary!$C$107),"X"," "),IF(AND(O77&lt;=-Summary!$C$106,P77&lt;=-Summary!$C$107),"X"," "))</f>
        <v>X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>X</v>
      </c>
      <c r="U77" s="21" t="str">
        <f>IF($C$4="High Inventory",IF(AND($O77&gt;=0,$P77&gt;=Summary!$C$107),"X"," "),IF(AND($O77&lt;=0,$P77&lt;=-Summary!$C$107),"X"," "))</f>
        <v>X</v>
      </c>
      <c r="V77" t="str">
        <f t="shared" si="10"/>
        <v xml:space="preserve"> </v>
      </c>
    </row>
    <row r="78" spans="1:22" x14ac:dyDescent="0.2">
      <c r="A78" s="10">
        <v>8576</v>
      </c>
      <c r="B78" s="5" t="s">
        <v>17</v>
      </c>
      <c r="C78" s="10">
        <v>0</v>
      </c>
      <c r="D78" s="5">
        <v>0</v>
      </c>
      <c r="E78" s="5">
        <v>0</v>
      </c>
      <c r="F78" s="10">
        <v>0</v>
      </c>
      <c r="G78" s="5">
        <v>0</v>
      </c>
      <c r="H78" s="5">
        <v>0</v>
      </c>
      <c r="I78" s="10">
        <v>0</v>
      </c>
      <c r="J78" s="5">
        <v>0</v>
      </c>
      <c r="K78" s="5">
        <v>0</v>
      </c>
      <c r="L78" s="10">
        <v>0</v>
      </c>
      <c r="M78" s="5">
        <v>0</v>
      </c>
      <c r="N78" s="5">
        <v>0</v>
      </c>
      <c r="O78" s="10">
        <f>K78+H78+E78</f>
        <v>0</v>
      </c>
      <c r="P78" s="97">
        <f>O78/(J78+G78+D78+1)</f>
        <v>0</v>
      </c>
      <c r="Q78" s="101" t="str">
        <f t="shared" si="11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10"/>
        <v xml:space="preserve"> </v>
      </c>
    </row>
    <row r="79" spans="1:22" x14ac:dyDescent="0.2">
      <c r="A79" s="10">
        <v>8577</v>
      </c>
      <c r="B79" s="5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 t="shared" si="8"/>
        <v>0</v>
      </c>
      <c r="P79" s="97">
        <f t="shared" si="9"/>
        <v>0</v>
      </c>
      <c r="Q79" s="101" t="str">
        <f t="shared" si="11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">
      <c r="A80" s="10">
        <v>8578</v>
      </c>
      <c r="B80" s="5" t="s">
        <v>17</v>
      </c>
      <c r="C80" s="10">
        <v>0</v>
      </c>
      <c r="D80" s="5">
        <v>0</v>
      </c>
      <c r="E80" s="5">
        <v>0</v>
      </c>
      <c r="F80" s="10">
        <v>0</v>
      </c>
      <c r="G80" s="5">
        <v>0</v>
      </c>
      <c r="H80" s="5">
        <v>0</v>
      </c>
      <c r="I80" s="10">
        <v>0</v>
      </c>
      <c r="J80" s="5">
        <v>0</v>
      </c>
      <c r="K80" s="5">
        <v>0</v>
      </c>
      <c r="L80" s="10">
        <v>0</v>
      </c>
      <c r="M80" s="5">
        <v>0</v>
      </c>
      <c r="N80" s="5">
        <v>0</v>
      </c>
      <c r="O80" s="10">
        <f t="shared" si="8"/>
        <v>0</v>
      </c>
      <c r="P80" s="97">
        <f t="shared" si="9"/>
        <v>0</v>
      </c>
      <c r="Q80" s="101" t="str">
        <f t="shared" si="11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">
      <c r="A81" s="10">
        <v>8579</v>
      </c>
      <c r="B81" s="5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8"/>
        <v>0</v>
      </c>
      <c r="P81" s="97">
        <f t="shared" si="9"/>
        <v>0</v>
      </c>
      <c r="Q81" s="101" t="str">
        <f t="shared" si="11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">
      <c r="A82" s="10">
        <v>8580</v>
      </c>
      <c r="B82" s="5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8"/>
        <v>0</v>
      </c>
      <c r="P82" s="97">
        <f t="shared" si="9"/>
        <v>0</v>
      </c>
      <c r="Q82" s="101" t="str">
        <f t="shared" si="11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0"/>
        <v xml:space="preserve"> </v>
      </c>
    </row>
    <row r="83" spans="1:22" x14ac:dyDescent="0.2">
      <c r="A83" s="10">
        <v>13636</v>
      </c>
      <c r="B83" s="5" t="s">
        <v>17</v>
      </c>
      <c r="C83" s="10">
        <v>0</v>
      </c>
      <c r="D83" s="5">
        <v>12</v>
      </c>
      <c r="E83" s="5">
        <v>-12</v>
      </c>
      <c r="F83" s="10">
        <v>0</v>
      </c>
      <c r="G83" s="5">
        <v>42</v>
      </c>
      <c r="H83" s="5">
        <v>-42</v>
      </c>
      <c r="I83" s="10">
        <v>0</v>
      </c>
      <c r="J83" s="5">
        <v>32</v>
      </c>
      <c r="K83" s="5">
        <v>-32</v>
      </c>
      <c r="L83" s="10">
        <v>0</v>
      </c>
      <c r="M83" s="5">
        <v>19</v>
      </c>
      <c r="N83" s="5">
        <v>-19</v>
      </c>
      <c r="O83" s="10">
        <f>K83+H83+E83</f>
        <v>-86</v>
      </c>
      <c r="P83" s="97">
        <f>O83/(J83+G83+D83+1)</f>
        <v>-0.9885057471264368</v>
      </c>
      <c r="Q83" s="101" t="str">
        <f t="shared" si="11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">
      <c r="A84" s="10">
        <v>18287</v>
      </c>
      <c r="B84" s="5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8"/>
        <v>0</v>
      </c>
      <c r="P84" s="97">
        <f t="shared" si="9"/>
        <v>0</v>
      </c>
      <c r="Q84" s="101" t="str">
        <f t="shared" si="11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0"/>
        <v xml:space="preserve"> </v>
      </c>
    </row>
    <row r="85" spans="1:22" x14ac:dyDescent="0.2">
      <c r="A85" s="10">
        <v>20566</v>
      </c>
      <c r="B85" s="5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8"/>
        <v>0</v>
      </c>
      <c r="P85" s="97">
        <f t="shared" si="9"/>
        <v>0</v>
      </c>
      <c r="Q85" s="101" t="str">
        <f t="shared" si="11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0"/>
        <v xml:space="preserve"> </v>
      </c>
    </row>
    <row r="86" spans="1:22" x14ac:dyDescent="0.2">
      <c r="A86" s="10">
        <v>25541</v>
      </c>
      <c r="B86" s="5" t="s">
        <v>17</v>
      </c>
      <c r="C86" s="10">
        <v>0</v>
      </c>
      <c r="D86" s="5">
        <v>57</v>
      </c>
      <c r="E86" s="5">
        <v>-57</v>
      </c>
      <c r="F86" s="10">
        <v>0</v>
      </c>
      <c r="G86" s="5">
        <v>34</v>
      </c>
      <c r="H86" s="5">
        <v>-34</v>
      </c>
      <c r="I86" s="10">
        <v>0</v>
      </c>
      <c r="J86" s="5">
        <v>2</v>
      </c>
      <c r="K86" s="5">
        <v>-2</v>
      </c>
      <c r="L86" s="10">
        <v>0</v>
      </c>
      <c r="M86" s="5">
        <v>4</v>
      </c>
      <c r="N86" s="5">
        <v>-4</v>
      </c>
      <c r="O86" s="10">
        <f>K86+H86+E86</f>
        <v>-93</v>
      </c>
      <c r="P86" s="97">
        <f>O86/(J86+G86+D86+1)</f>
        <v>-0.98936170212765961</v>
      </c>
      <c r="Q86" s="101" t="str">
        <f t="shared" si="11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 t="str">
        <f t="shared" si="10"/>
        <v xml:space="preserve"> </v>
      </c>
    </row>
    <row r="87" spans="1:22" ht="13.5" thickBot="1" x14ac:dyDescent="0.25">
      <c r="A87" s="10">
        <v>28729</v>
      </c>
      <c r="B87" s="5" t="s">
        <v>17</v>
      </c>
      <c r="C87" s="10">
        <v>30000</v>
      </c>
      <c r="D87" s="5">
        <v>31496</v>
      </c>
      <c r="E87" s="5">
        <v>-1496</v>
      </c>
      <c r="F87" s="10">
        <v>30000</v>
      </c>
      <c r="G87" s="5">
        <v>29958</v>
      </c>
      <c r="H87" s="5">
        <v>42</v>
      </c>
      <c r="I87" s="10">
        <v>30000</v>
      </c>
      <c r="J87" s="5">
        <v>26472</v>
      </c>
      <c r="K87" s="5">
        <v>3528</v>
      </c>
      <c r="L87" s="10">
        <v>30000</v>
      </c>
      <c r="M87" s="5">
        <v>27140</v>
      </c>
      <c r="N87" s="5">
        <v>2860</v>
      </c>
      <c r="O87" s="10">
        <f>K87+H87+E87</f>
        <v>2074</v>
      </c>
      <c r="P87" s="97">
        <f>O87/(J87+G87+D87+1)</f>
        <v>2.3587748928088074E-2</v>
      </c>
      <c r="Q87" s="127" t="s">
        <v>44</v>
      </c>
      <c r="R87" s="121" t="str">
        <f>IF($C$4="High Inventory",IF(AND(O87&gt;=Summary!$C$106,P87&gt;=Summary!$C$107),"X"," "),IF(AND(O87&lt;=-Summary!$C$106,P87&lt;=-Summary!$C$107),"X"," "))</f>
        <v xml:space="preserve"> </v>
      </c>
      <c r="S87" s="23" t="str">
        <f>IF(AND(L87-I87&gt;=Summary!$C$110,N87-K87&gt;Summary!$C$110,N87&gt;0),"X"," ")</f>
        <v xml:space="preserve"> </v>
      </c>
      <c r="T87" s="127" t="str">
        <f>IF($C$4="High Inventory",IF(AND($O87&gt;=Summary!$C$106,$P87&gt;=0%),"X"," "),IF(AND($O87&lt;=-Summary!$C$106,$P87&lt;=0%),"X"," "))</f>
        <v xml:space="preserve"> </v>
      </c>
      <c r="U87" s="23" t="str">
        <f>IF($C$4="High Inventory",IF(AND($O87&gt;=0,$P87&gt;=Summary!$C$107),"X"," "),IF(AND($O87&lt;=0,$P87&lt;=-Summary!$C$107),"X"," "))</f>
        <v xml:space="preserve"> </v>
      </c>
      <c r="V87" t="str">
        <f t="shared" si="10"/>
        <v xml:space="preserve"> </v>
      </c>
    </row>
    <row r="88" spans="1:22" s="3" customFormat="1" x14ac:dyDescent="0.2">
      <c r="A88" s="3" t="s">
        <v>18</v>
      </c>
      <c r="E88" s="3">
        <f>SUM(E10:E87)</f>
        <v>98718</v>
      </c>
      <c r="H88" s="3">
        <f>SUM(H10:H87)</f>
        <v>77099</v>
      </c>
      <c r="K88" s="3">
        <f>SUM(K10:K87)</f>
        <v>343678</v>
      </c>
      <c r="M88" s="3">
        <f>SUM(M10:M87)</f>
        <v>1681151</v>
      </c>
      <c r="N88" s="3">
        <f>SUM(N10:N87)</f>
        <v>1523</v>
      </c>
      <c r="P88" s="22"/>
      <c r="Q88" s="2">
        <f>COUNTIF(Q2:Q87,"X")</f>
        <v>9</v>
      </c>
      <c r="R88" s="2">
        <f>COUNTIF(R2:R87,"X")</f>
        <v>9</v>
      </c>
      <c r="S88" s="2">
        <f>COUNTIF(S2:S87,"X")</f>
        <v>1</v>
      </c>
      <c r="T88" s="2">
        <f>COUNTIF(T2:T87,"X")</f>
        <v>13</v>
      </c>
      <c r="U88" s="2">
        <f>COUNTIF(U2:U87,"X")</f>
        <v>17</v>
      </c>
      <c r="V88">
        <f>SUM(V$58:V$87)+SUM(V$31:V$53)+SUM(V$10:V$26)</f>
        <v>14060</v>
      </c>
    </row>
    <row r="89" spans="1:22" x14ac:dyDescent="0.2">
      <c r="M89" s="115" t="s">
        <v>57</v>
      </c>
      <c r="N89" s="116">
        <f>N88/M88</f>
        <v>9.0592695123757475E-4</v>
      </c>
      <c r="S89" s="2" t="str">
        <f>IF(AND(L89-I89&gt;=5000,N89-K89&gt;5000,N89&gt;0),"X"," ")</f>
        <v xml:space="preserve"> </v>
      </c>
      <c r="T89" s="28" t="str">
        <f>IF($C$4="High Inventory",IF(AND($O89&gt;=5000,$P89&gt;=0%),"X"," "),IF(AND($O89&lt;=-5000,$P89&lt;=0%),"X"," "))</f>
        <v xml:space="preserve"> </v>
      </c>
    </row>
    <row r="90" spans="1:22" x14ac:dyDescent="0.2">
      <c r="S90" s="2" t="str">
        <f>IF(AND(L90-I90&gt;=5000,N90-K90&gt;5000,N90&gt;0),"X"," ")</f>
        <v xml:space="preserve"> </v>
      </c>
      <c r="T90" s="28" t="str">
        <f>IF($C$4="High Inventory",IF(AND($O90&gt;=5000,$P90&gt;=0%),"X"," "),IF(AND($O90&lt;=-5000,$P90&lt;=0%),"X"," "))</f>
        <v xml:space="preserve"> </v>
      </c>
    </row>
    <row r="91" spans="1:22" x14ac:dyDescent="0.2">
      <c r="S91" s="2" t="str">
        <f t="shared" ref="S91:S96" si="12">IF(AND(L91-I91&gt;=5000,N91-K91&gt;5000,N91&gt;0),"X"," ")</f>
        <v xml:space="preserve"> </v>
      </c>
      <c r="T91" s="28" t="str">
        <f t="shared" ref="T91:T96" si="13">IF($C$4="High Inventory",IF(AND($O91&gt;=5000,$P91&gt;=0%),"X"," "),IF(AND($O91&lt;=-5000,$P91&lt;=0%),"X"," "))</f>
        <v xml:space="preserve"> </v>
      </c>
    </row>
    <row r="92" spans="1:22" x14ac:dyDescent="0.2">
      <c r="S92" s="2" t="str">
        <f t="shared" si="12"/>
        <v xml:space="preserve"> </v>
      </c>
      <c r="T92" s="28" t="str">
        <f t="shared" si="13"/>
        <v xml:space="preserve"> </v>
      </c>
    </row>
    <row r="93" spans="1:22" x14ac:dyDescent="0.2">
      <c r="S93" s="2" t="str">
        <f t="shared" si="12"/>
        <v xml:space="preserve"> </v>
      </c>
      <c r="T93" s="28" t="str">
        <f t="shared" si="13"/>
        <v xml:space="preserve"> </v>
      </c>
    </row>
    <row r="94" spans="1:22" x14ac:dyDescent="0.2">
      <c r="S94" s="2" t="str">
        <f t="shared" si="12"/>
        <v xml:space="preserve"> </v>
      </c>
      <c r="T94" s="28" t="str">
        <f t="shared" si="13"/>
        <v xml:space="preserve"> </v>
      </c>
    </row>
    <row r="95" spans="1:22" x14ac:dyDescent="0.2">
      <c r="S95" s="2" t="str">
        <f t="shared" si="12"/>
        <v xml:space="preserve"> </v>
      </c>
      <c r="T95" s="28" t="str">
        <f t="shared" si="13"/>
        <v xml:space="preserve"> </v>
      </c>
    </row>
    <row r="96" spans="1:22" x14ac:dyDescent="0.2">
      <c r="S96" s="2" t="str">
        <f t="shared" si="12"/>
        <v xml:space="preserve"> </v>
      </c>
      <c r="T96" s="28" t="str">
        <f t="shared" si="13"/>
        <v xml:space="preserve"> </v>
      </c>
    </row>
    <row r="97" spans="20:20" x14ac:dyDescent="0.2">
      <c r="T97" s="29"/>
    </row>
    <row r="98" spans="20:20" x14ac:dyDescent="0.2">
      <c r="T98" s="29"/>
    </row>
    <row r="99" spans="20:20" x14ac:dyDescent="0.2">
      <c r="T99" s="29"/>
    </row>
    <row r="100" spans="20:20" x14ac:dyDescent="0.2">
      <c r="T100" s="29"/>
    </row>
    <row r="101" spans="20:20" x14ac:dyDescent="0.2">
      <c r="T101" s="29"/>
    </row>
  </sheetData>
  <mergeCells count="1">
    <mergeCell ref="R6:S6"/>
  </mergeCells>
  <pageMargins left="0.25" right="0.25" top="0.6" bottom="0.88" header="0.44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9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5546875" defaultRowHeight="12.75" x14ac:dyDescent="0.2"/>
  <cols>
    <col min="1" max="1" width="9.42578125" style="43" customWidth="1"/>
    <col min="2" max="2" width="10" style="43" customWidth="1"/>
    <col min="3" max="24" width="10" customWidth="1"/>
    <col min="25" max="252" width="9.140625" customWidth="1"/>
  </cols>
  <sheetData>
    <row r="1" spans="1:22" ht="18" x14ac:dyDescent="0.25">
      <c r="A1" s="80" t="s">
        <v>45</v>
      </c>
    </row>
    <row r="2" spans="1:22" ht="20.25" customHeight="1" x14ac:dyDescent="0.2">
      <c r="A2" s="113" t="s">
        <v>24</v>
      </c>
    </row>
    <row r="3" spans="1:22" ht="15.75" x14ac:dyDescent="0.25">
      <c r="A3" s="81" t="s">
        <v>25</v>
      </c>
      <c r="C3" s="20">
        <f>L8</f>
        <v>36673</v>
      </c>
      <c r="D3" s="19"/>
    </row>
    <row r="4" spans="1:22" ht="15.75" x14ac:dyDescent="0.25">
      <c r="A4" s="81" t="s">
        <v>26</v>
      </c>
      <c r="C4" s="4" t="s">
        <v>27</v>
      </c>
      <c r="E4" s="4" t="s">
        <v>58</v>
      </c>
    </row>
    <row r="5" spans="1:22" ht="16.5" thickBot="1" x14ac:dyDescent="0.3">
      <c r="A5" s="81" t="s">
        <v>28</v>
      </c>
      <c r="C5" s="4" t="s">
        <v>29</v>
      </c>
    </row>
    <row r="6" spans="1:22" ht="21.75" customHeight="1" thickBot="1" x14ac:dyDescent="0.25">
      <c r="R6" s="221" t="s">
        <v>55</v>
      </c>
      <c r="S6" s="222"/>
    </row>
    <row r="7" spans="1:22" s="85" customFormat="1" ht="54" customHeight="1" thickBot="1" x14ac:dyDescent="0.25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82" t="s">
        <v>36</v>
      </c>
      <c r="R7" s="83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5" customHeight="1" thickBot="1" x14ac:dyDescent="0.25">
      <c r="A8" s="78"/>
      <c r="B8" s="79"/>
      <c r="C8" s="73">
        <v>36670</v>
      </c>
      <c r="D8" s="74"/>
      <c r="E8" s="75" t="str">
        <f>TEXT(WEEKDAY(C8),"dddd")</f>
        <v>Wednesday</v>
      </c>
      <c r="F8" s="73">
        <v>36671</v>
      </c>
      <c r="G8" s="74"/>
      <c r="H8" s="75" t="str">
        <f>TEXT(WEEKDAY(F8),"dddd")</f>
        <v>Thursday</v>
      </c>
      <c r="I8" s="73">
        <v>36672</v>
      </c>
      <c r="J8" s="74"/>
      <c r="K8" s="75" t="str">
        <f>TEXT(WEEKDAY(I8),"dddd")</f>
        <v>Friday</v>
      </c>
      <c r="L8" s="73">
        <v>36673</v>
      </c>
      <c r="M8" s="74"/>
      <c r="N8" s="75" t="str">
        <f>TEXT(WEEKDAY(L8),"dddd")</f>
        <v>Saturday</v>
      </c>
      <c r="O8" s="71"/>
      <c r="P8" s="95"/>
      <c r="Q8" s="128"/>
      <c r="R8" s="129"/>
      <c r="S8" s="156">
        <f>Summary!$C$110</f>
        <v>5000</v>
      </c>
      <c r="T8" s="144"/>
      <c r="U8" s="130"/>
    </row>
    <row r="9" spans="1:22" ht="51" hidden="1" x14ac:dyDescent="0.2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3" si="0">K9+H9+E9</f>
        <v>#VALUE!</v>
      </c>
      <c r="P9" s="5"/>
      <c r="Q9" s="146"/>
      <c r="R9" s="138"/>
    </row>
    <row r="10" spans="1:22" x14ac:dyDescent="0.2">
      <c r="A10" s="42">
        <v>1117</v>
      </c>
      <c r="B10" s="77" t="s">
        <v>8</v>
      </c>
      <c r="C10" s="10">
        <v>229</v>
      </c>
      <c r="D10" s="5">
        <v>210</v>
      </c>
      <c r="E10" s="5">
        <v>19</v>
      </c>
      <c r="F10" s="10">
        <v>229</v>
      </c>
      <c r="G10" s="5">
        <v>234</v>
      </c>
      <c r="H10" s="5">
        <v>-5</v>
      </c>
      <c r="I10" s="10">
        <v>229</v>
      </c>
      <c r="J10" s="5">
        <v>204</v>
      </c>
      <c r="K10" s="5">
        <v>25</v>
      </c>
      <c r="L10" s="10">
        <v>0</v>
      </c>
      <c r="M10" s="5">
        <v>192</v>
      </c>
      <c r="N10" s="5">
        <v>-192</v>
      </c>
      <c r="O10" s="10">
        <f t="shared" si="0"/>
        <v>39</v>
      </c>
      <c r="P10" s="97">
        <f t="shared" ref="P10:P53" si="1">O10/(J10+G10+D10+1)</f>
        <v>6.0092449922958396E-2</v>
      </c>
      <c r="Q10" s="134" t="str">
        <f t="shared" ref="Q10:Q73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">
      <c r="A11" s="42">
        <v>1126</v>
      </c>
      <c r="B11" s="77" t="s">
        <v>8</v>
      </c>
      <c r="C11" s="10">
        <v>0</v>
      </c>
      <c r="D11" s="5">
        <v>67</v>
      </c>
      <c r="E11" s="5">
        <v>-67</v>
      </c>
      <c r="F11" s="10">
        <v>0</v>
      </c>
      <c r="G11" s="5">
        <v>73</v>
      </c>
      <c r="H11" s="5">
        <v>-73</v>
      </c>
      <c r="I11" s="10">
        <v>0</v>
      </c>
      <c r="J11" s="5">
        <v>65</v>
      </c>
      <c r="K11" s="5">
        <v>-65</v>
      </c>
      <c r="L11" s="10">
        <v>0</v>
      </c>
      <c r="M11" s="5">
        <v>61</v>
      </c>
      <c r="N11" s="5">
        <v>-61</v>
      </c>
      <c r="O11" s="10">
        <f t="shared" si="0"/>
        <v>-205</v>
      </c>
      <c r="P11" s="97">
        <f t="shared" si="1"/>
        <v>-0.99514563106796117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">
      <c r="A12" s="42">
        <v>1157</v>
      </c>
      <c r="B12" s="77" t="s">
        <v>8</v>
      </c>
      <c r="C12" s="10">
        <v>100</v>
      </c>
      <c r="D12" s="5">
        <v>104</v>
      </c>
      <c r="E12" s="5">
        <v>-4</v>
      </c>
      <c r="F12" s="10">
        <v>100</v>
      </c>
      <c r="G12" s="5">
        <v>114</v>
      </c>
      <c r="H12" s="5">
        <v>-14</v>
      </c>
      <c r="I12" s="10">
        <v>100</v>
      </c>
      <c r="J12" s="5">
        <v>101</v>
      </c>
      <c r="K12" s="5">
        <v>-1</v>
      </c>
      <c r="L12" s="10">
        <v>100</v>
      </c>
      <c r="M12" s="5">
        <v>96</v>
      </c>
      <c r="N12" s="5">
        <v>4</v>
      </c>
      <c r="O12" s="10">
        <f t="shared" si="0"/>
        <v>-19</v>
      </c>
      <c r="P12" s="97">
        <f t="shared" si="1"/>
        <v>-5.9374999999999997E-2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">
      <c r="A13" s="42">
        <v>1780</v>
      </c>
      <c r="B13" s="77" t="s">
        <v>8</v>
      </c>
      <c r="C13" s="10">
        <v>970</v>
      </c>
      <c r="D13" s="5">
        <v>1057</v>
      </c>
      <c r="E13" s="5">
        <v>-87</v>
      </c>
      <c r="F13" s="10">
        <v>970</v>
      </c>
      <c r="G13" s="5">
        <v>1164</v>
      </c>
      <c r="H13" s="5">
        <v>-194</v>
      </c>
      <c r="I13" s="10">
        <v>970</v>
      </c>
      <c r="J13" s="5">
        <v>1025</v>
      </c>
      <c r="K13" s="5">
        <v>-55</v>
      </c>
      <c r="L13" s="10">
        <v>990</v>
      </c>
      <c r="M13" s="5">
        <v>973</v>
      </c>
      <c r="N13" s="5">
        <v>17</v>
      </c>
      <c r="O13" s="10">
        <f t="shared" si="0"/>
        <v>-336</v>
      </c>
      <c r="P13" s="97">
        <f t="shared" si="1"/>
        <v>-0.10348013550970127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">
      <c r="A14" s="42">
        <v>2280</v>
      </c>
      <c r="B14" s="77" t="s">
        <v>8</v>
      </c>
      <c r="C14" s="10">
        <v>837</v>
      </c>
      <c r="D14" s="5">
        <v>661</v>
      </c>
      <c r="E14" s="5">
        <v>176</v>
      </c>
      <c r="F14" s="10">
        <v>827</v>
      </c>
      <c r="G14" s="5">
        <v>726</v>
      </c>
      <c r="H14" s="5">
        <v>101</v>
      </c>
      <c r="I14" s="10">
        <v>837</v>
      </c>
      <c r="J14" s="5">
        <v>641</v>
      </c>
      <c r="K14" s="5">
        <v>196</v>
      </c>
      <c r="L14" s="10">
        <v>618</v>
      </c>
      <c r="M14" s="5">
        <v>609</v>
      </c>
      <c r="N14" s="5">
        <v>9</v>
      </c>
      <c r="O14" s="10">
        <f t="shared" si="0"/>
        <v>473</v>
      </c>
      <c r="P14" s="97">
        <f t="shared" si="1"/>
        <v>0.23311976343026122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>X</v>
      </c>
      <c r="V14" t="str">
        <f t="shared" si="3"/>
        <v xml:space="preserve"> </v>
      </c>
    </row>
    <row r="15" spans="1:22" x14ac:dyDescent="0.2">
      <c r="A15" s="42">
        <v>2584</v>
      </c>
      <c r="B15" s="77" t="s">
        <v>8</v>
      </c>
      <c r="C15" s="10">
        <v>3707</v>
      </c>
      <c r="D15" s="5">
        <v>2976</v>
      </c>
      <c r="E15" s="5">
        <v>731</v>
      </c>
      <c r="F15" s="10">
        <v>4000</v>
      </c>
      <c r="G15" s="5">
        <v>3271</v>
      </c>
      <c r="H15" s="5">
        <v>729</v>
      </c>
      <c r="I15" s="10">
        <v>4000</v>
      </c>
      <c r="J15" s="5">
        <v>2888</v>
      </c>
      <c r="K15" s="5">
        <v>1112</v>
      </c>
      <c r="L15" s="10">
        <v>2795</v>
      </c>
      <c r="M15" s="5">
        <v>2740</v>
      </c>
      <c r="N15" s="5">
        <v>55</v>
      </c>
      <c r="O15" s="10">
        <f t="shared" si="0"/>
        <v>2572</v>
      </c>
      <c r="P15" s="97">
        <f t="shared" si="1"/>
        <v>0.28152364273204905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>X</v>
      </c>
      <c r="V15" t="str">
        <f t="shared" si="3"/>
        <v xml:space="preserve"> </v>
      </c>
    </row>
    <row r="16" spans="1:22" x14ac:dyDescent="0.2">
      <c r="A16" s="42">
        <v>2771</v>
      </c>
      <c r="B16" s="77" t="s">
        <v>8</v>
      </c>
      <c r="C16" s="10">
        <v>6000</v>
      </c>
      <c r="D16" s="5">
        <v>5885</v>
      </c>
      <c r="E16" s="5">
        <v>115</v>
      </c>
      <c r="F16" s="10">
        <v>6000</v>
      </c>
      <c r="G16" s="5">
        <v>6465</v>
      </c>
      <c r="H16" s="5">
        <v>-465</v>
      </c>
      <c r="I16" s="10">
        <v>6000</v>
      </c>
      <c r="J16" s="5">
        <v>5703</v>
      </c>
      <c r="K16" s="5">
        <v>297</v>
      </c>
      <c r="L16" s="10">
        <v>5197</v>
      </c>
      <c r="M16" s="5">
        <v>5406</v>
      </c>
      <c r="N16" s="5">
        <v>-209</v>
      </c>
      <c r="O16" s="10">
        <f t="shared" si="0"/>
        <v>-53</v>
      </c>
      <c r="P16" s="97">
        <f t="shared" si="1"/>
        <v>-2.9356375318488979E-3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 xml:space="preserve"> 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t="str">
        <f t="shared" si="3"/>
        <v xml:space="preserve"> </v>
      </c>
    </row>
    <row r="17" spans="1:22" x14ac:dyDescent="0.2">
      <c r="A17" s="42">
        <v>2832</v>
      </c>
      <c r="B17" s="77" t="s">
        <v>8</v>
      </c>
      <c r="C17" s="10">
        <v>929</v>
      </c>
      <c r="D17" s="5">
        <v>870</v>
      </c>
      <c r="E17" s="5">
        <v>59</v>
      </c>
      <c r="F17" s="10">
        <v>929</v>
      </c>
      <c r="G17" s="5">
        <v>956</v>
      </c>
      <c r="H17" s="5">
        <v>-27</v>
      </c>
      <c r="I17" s="10">
        <v>929</v>
      </c>
      <c r="J17" s="5">
        <v>844</v>
      </c>
      <c r="K17" s="5">
        <v>85</v>
      </c>
      <c r="L17" s="10">
        <v>779</v>
      </c>
      <c r="M17" s="5">
        <v>800</v>
      </c>
      <c r="N17" s="5">
        <v>-21</v>
      </c>
      <c r="O17" s="10">
        <f t="shared" si="0"/>
        <v>117</v>
      </c>
      <c r="P17" s="97">
        <f t="shared" si="1"/>
        <v>4.3803818794459007E-2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">
      <c r="A18" s="42">
        <v>2892</v>
      </c>
      <c r="B18" s="77" t="s">
        <v>8</v>
      </c>
      <c r="C18" s="10">
        <v>4237</v>
      </c>
      <c r="D18" s="5">
        <v>4188</v>
      </c>
      <c r="E18" s="5">
        <v>49</v>
      </c>
      <c r="F18" s="10">
        <v>4237</v>
      </c>
      <c r="G18" s="5">
        <v>4603</v>
      </c>
      <c r="H18" s="5">
        <v>-366</v>
      </c>
      <c r="I18" s="10">
        <v>4237</v>
      </c>
      <c r="J18" s="5">
        <v>4062</v>
      </c>
      <c r="K18" s="5">
        <v>175</v>
      </c>
      <c r="L18" s="10">
        <v>3862</v>
      </c>
      <c r="M18" s="5">
        <v>3854</v>
      </c>
      <c r="N18" s="5">
        <v>8</v>
      </c>
      <c r="O18" s="10">
        <f t="shared" si="0"/>
        <v>-142</v>
      </c>
      <c r="P18" s="97">
        <f t="shared" si="1"/>
        <v>-1.1047144857631865E-2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3"/>
        <v xml:space="preserve"> </v>
      </c>
    </row>
    <row r="19" spans="1:22" x14ac:dyDescent="0.2">
      <c r="A19" s="42">
        <v>2939</v>
      </c>
      <c r="B19" s="77" t="s">
        <v>8</v>
      </c>
      <c r="C19" s="10">
        <v>0</v>
      </c>
      <c r="D19" s="5">
        <v>1049</v>
      </c>
      <c r="E19" s="5">
        <v>-1049</v>
      </c>
      <c r="F19" s="10">
        <v>0</v>
      </c>
      <c r="G19" s="5">
        <v>1154</v>
      </c>
      <c r="H19" s="5">
        <v>-1154</v>
      </c>
      <c r="I19" s="10">
        <v>660</v>
      </c>
      <c r="J19" s="5">
        <v>1018</v>
      </c>
      <c r="K19" s="5">
        <v>-358</v>
      </c>
      <c r="L19" s="10">
        <v>1260</v>
      </c>
      <c r="M19" s="5">
        <v>966</v>
      </c>
      <c r="N19" s="5">
        <v>294</v>
      </c>
      <c r="O19" s="10">
        <f t="shared" si="0"/>
        <v>-2561</v>
      </c>
      <c r="P19" s="97">
        <f t="shared" si="1"/>
        <v>-0.79484792054624454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">
      <c r="A20" s="42">
        <v>3152</v>
      </c>
      <c r="B20" s="77" t="s">
        <v>8</v>
      </c>
      <c r="C20" s="10">
        <v>5444</v>
      </c>
      <c r="D20" s="5">
        <v>5666</v>
      </c>
      <c r="E20" s="5">
        <v>-222</v>
      </c>
      <c r="F20" s="10">
        <v>0</v>
      </c>
      <c r="G20" s="5">
        <v>6234</v>
      </c>
      <c r="H20" s="5">
        <v>-6234</v>
      </c>
      <c r="I20" s="10">
        <v>2444</v>
      </c>
      <c r="J20" s="5">
        <v>5484</v>
      </c>
      <c r="K20" s="5">
        <v>-3040</v>
      </c>
      <c r="L20" s="10">
        <v>5295</v>
      </c>
      <c r="M20" s="5">
        <v>5192</v>
      </c>
      <c r="N20" s="5">
        <v>103</v>
      </c>
      <c r="O20" s="10">
        <f t="shared" si="0"/>
        <v>-9496</v>
      </c>
      <c r="P20" s="97">
        <f t="shared" si="1"/>
        <v>-0.54621800402645959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t="str">
        <f t="shared" si="3"/>
        <v xml:space="preserve"> </v>
      </c>
    </row>
    <row r="21" spans="1:22" x14ac:dyDescent="0.2">
      <c r="A21" s="42">
        <v>4303</v>
      </c>
      <c r="B21" s="77" t="s">
        <v>8</v>
      </c>
      <c r="C21" s="10">
        <v>2133</v>
      </c>
      <c r="D21" s="5">
        <v>2340</v>
      </c>
      <c r="E21" s="5">
        <v>-207</v>
      </c>
      <c r="F21" s="10">
        <v>5682</v>
      </c>
      <c r="G21" s="5">
        <v>2575</v>
      </c>
      <c r="H21" s="5">
        <v>3107</v>
      </c>
      <c r="I21" s="10">
        <v>2039</v>
      </c>
      <c r="J21" s="5">
        <v>2271</v>
      </c>
      <c r="K21" s="5">
        <v>-232</v>
      </c>
      <c r="L21" s="10">
        <v>2808</v>
      </c>
      <c r="M21" s="5">
        <v>2154</v>
      </c>
      <c r="N21" s="5">
        <v>654</v>
      </c>
      <c r="O21" s="10">
        <f t="shared" si="0"/>
        <v>2668</v>
      </c>
      <c r="P21" s="97">
        <f t="shared" si="1"/>
        <v>0.37122582440517599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>X</v>
      </c>
      <c r="V21" t="str">
        <f t="shared" si="3"/>
        <v xml:space="preserve"> </v>
      </c>
    </row>
    <row r="22" spans="1:22" x14ac:dyDescent="0.2">
      <c r="A22" s="42">
        <v>6500</v>
      </c>
      <c r="B22" s="77" t="s">
        <v>8</v>
      </c>
      <c r="C22" s="10">
        <v>514978</v>
      </c>
      <c r="D22" s="5">
        <v>476626</v>
      </c>
      <c r="E22" s="5">
        <v>38352</v>
      </c>
      <c r="F22" s="10">
        <v>545985</v>
      </c>
      <c r="G22" s="5">
        <v>525791</v>
      </c>
      <c r="H22" s="5">
        <v>20194</v>
      </c>
      <c r="I22" s="10">
        <v>479976</v>
      </c>
      <c r="J22" s="5">
        <v>462223</v>
      </c>
      <c r="K22" s="5">
        <v>17753</v>
      </c>
      <c r="L22" s="10">
        <v>445625</v>
      </c>
      <c r="M22" s="5">
        <v>438422</v>
      </c>
      <c r="N22" s="5">
        <v>7203</v>
      </c>
      <c r="O22" s="10">
        <f t="shared" si="0"/>
        <v>76299</v>
      </c>
      <c r="P22" s="97">
        <f t="shared" si="1"/>
        <v>5.2093994364489318E-2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">
      <c r="A23" s="42">
        <v>10656</v>
      </c>
      <c r="B23" s="77" t="s">
        <v>8</v>
      </c>
      <c r="C23" s="10">
        <v>78</v>
      </c>
      <c r="D23" s="5">
        <v>193</v>
      </c>
      <c r="E23" s="5">
        <v>-115</v>
      </c>
      <c r="F23" s="10">
        <v>78</v>
      </c>
      <c r="G23" s="5">
        <v>212</v>
      </c>
      <c r="H23" s="5">
        <v>-134</v>
      </c>
      <c r="I23" s="10">
        <v>78</v>
      </c>
      <c r="J23" s="5">
        <v>187</v>
      </c>
      <c r="K23" s="5">
        <v>-109</v>
      </c>
      <c r="L23" s="10">
        <v>0</v>
      </c>
      <c r="M23" s="5">
        <v>177</v>
      </c>
      <c r="N23" s="5">
        <v>-177</v>
      </c>
      <c r="O23" s="10">
        <f t="shared" si="0"/>
        <v>-358</v>
      </c>
      <c r="P23" s="97">
        <f t="shared" si="1"/>
        <v>-0.60370994940978073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">
      <c r="A24" s="42">
        <v>12296</v>
      </c>
      <c r="B24" s="77" t="s">
        <v>8</v>
      </c>
      <c r="C24" s="10">
        <v>2300</v>
      </c>
      <c r="D24" s="5">
        <v>2444</v>
      </c>
      <c r="E24" s="5">
        <v>-144</v>
      </c>
      <c r="F24" s="10">
        <v>2300</v>
      </c>
      <c r="G24" s="5">
        <v>2693</v>
      </c>
      <c r="H24" s="5">
        <v>-393</v>
      </c>
      <c r="I24" s="10">
        <v>2300</v>
      </c>
      <c r="J24" s="5">
        <v>2372</v>
      </c>
      <c r="K24" s="5">
        <v>-72</v>
      </c>
      <c r="L24" s="10">
        <v>2290</v>
      </c>
      <c r="M24" s="5">
        <v>2250</v>
      </c>
      <c r="N24" s="5">
        <v>40</v>
      </c>
      <c r="O24" s="10">
        <f t="shared" si="0"/>
        <v>-609</v>
      </c>
      <c r="P24" s="97">
        <f t="shared" si="1"/>
        <v>-8.10918774966711E-2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">
      <c r="A25" s="42">
        <v>16786</v>
      </c>
      <c r="B25" s="77" t="s">
        <v>8</v>
      </c>
      <c r="C25" s="10">
        <v>2975</v>
      </c>
      <c r="D25" s="5">
        <v>3535</v>
      </c>
      <c r="E25" s="5">
        <v>-560</v>
      </c>
      <c r="F25" s="10">
        <v>2975</v>
      </c>
      <c r="G25" s="5">
        <v>3896</v>
      </c>
      <c r="H25" s="5">
        <v>-921</v>
      </c>
      <c r="I25" s="10">
        <v>2975</v>
      </c>
      <c r="J25" s="5">
        <v>3429</v>
      </c>
      <c r="K25" s="5">
        <v>-454</v>
      </c>
      <c r="L25" s="10">
        <v>2975</v>
      </c>
      <c r="M25" s="5">
        <v>3253</v>
      </c>
      <c r="N25" s="5">
        <v>-278</v>
      </c>
      <c r="O25" s="10">
        <f t="shared" si="0"/>
        <v>-1935</v>
      </c>
      <c r="P25" s="97">
        <f t="shared" si="1"/>
        <v>-0.17816039038762546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">
      <c r="A26" s="42">
        <v>17791</v>
      </c>
      <c r="B26" s="77" t="s">
        <v>8</v>
      </c>
      <c r="C26" s="10">
        <v>0</v>
      </c>
      <c r="D26" s="5">
        <v>235</v>
      </c>
      <c r="E26" s="5">
        <v>-235</v>
      </c>
      <c r="F26" s="10">
        <v>0</v>
      </c>
      <c r="G26" s="5">
        <v>258</v>
      </c>
      <c r="H26" s="5">
        <v>-258</v>
      </c>
      <c r="I26" s="10">
        <v>0</v>
      </c>
      <c r="J26" s="5">
        <v>228</v>
      </c>
      <c r="K26" s="5">
        <v>-228</v>
      </c>
      <c r="L26" s="10">
        <v>220</v>
      </c>
      <c r="M26" s="5">
        <v>216</v>
      </c>
      <c r="N26" s="5">
        <v>4</v>
      </c>
      <c r="O26" s="10">
        <f t="shared" si="0"/>
        <v>-721</v>
      </c>
      <c r="P26" s="97">
        <f t="shared" si="1"/>
        <v>-0.99861495844875348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">
      <c r="A29" s="42"/>
      <c r="B29" s="77"/>
      <c r="C29" s="15">
        <v>36670</v>
      </c>
      <c r="D29" s="5"/>
      <c r="E29" s="5"/>
      <c r="F29" s="15">
        <v>36671</v>
      </c>
      <c r="G29" s="5"/>
      <c r="H29" s="5"/>
      <c r="I29" s="15">
        <v>36672</v>
      </c>
      <c r="J29" s="5"/>
      <c r="K29" s="5"/>
      <c r="L29" s="15">
        <v>36673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3"/>
        <v xml:space="preserve"> </v>
      </c>
    </row>
    <row r="30" spans="1:22" hidden="1" x14ac:dyDescent="0.2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3"/>
        <v>#VALUE!</v>
      </c>
    </row>
    <row r="31" spans="1:22" x14ac:dyDescent="0.2">
      <c r="A31" s="42">
        <v>1117</v>
      </c>
      <c r="B31" s="77" t="s">
        <v>15</v>
      </c>
      <c r="C31" s="10">
        <v>41639</v>
      </c>
      <c r="D31" s="5">
        <v>66368</v>
      </c>
      <c r="E31" s="5">
        <v>-24729</v>
      </c>
      <c r="F31" s="10">
        <v>77076</v>
      </c>
      <c r="G31" s="5">
        <v>69654</v>
      </c>
      <c r="H31" s="5">
        <v>7422</v>
      </c>
      <c r="I31" s="10">
        <v>100286</v>
      </c>
      <c r="J31" s="5">
        <v>67261</v>
      </c>
      <c r="K31" s="5">
        <v>33025</v>
      </c>
      <c r="L31" s="10">
        <v>60847</v>
      </c>
      <c r="M31" s="5">
        <v>59246</v>
      </c>
      <c r="N31" s="5">
        <v>1601</v>
      </c>
      <c r="O31" s="10">
        <f t="shared" si="0"/>
        <v>15718</v>
      </c>
      <c r="P31" s="97">
        <f t="shared" si="1"/>
        <v>7.7320399047637781E-2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 xml:space="preserve"> 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 xml:space="preserve"> </v>
      </c>
      <c r="V31" t="str">
        <f t="shared" si="3"/>
        <v xml:space="preserve"> </v>
      </c>
    </row>
    <row r="32" spans="1:22" x14ac:dyDescent="0.2">
      <c r="A32" s="42">
        <v>1126</v>
      </c>
      <c r="B32" s="77" t="s">
        <v>15</v>
      </c>
      <c r="C32" s="10">
        <v>34918</v>
      </c>
      <c r="D32" s="5">
        <v>28059</v>
      </c>
      <c r="E32" s="5">
        <v>6859</v>
      </c>
      <c r="F32" s="10">
        <v>34918</v>
      </c>
      <c r="G32" s="5">
        <v>28844</v>
      </c>
      <c r="H32" s="5">
        <v>6074</v>
      </c>
      <c r="I32" s="10">
        <v>34918</v>
      </c>
      <c r="J32" s="5">
        <v>29033</v>
      </c>
      <c r="K32" s="5">
        <v>5885</v>
      </c>
      <c r="L32" s="10">
        <v>30418</v>
      </c>
      <c r="M32" s="5">
        <v>27695</v>
      </c>
      <c r="N32" s="5">
        <v>2723</v>
      </c>
      <c r="O32" s="10">
        <f t="shared" si="0"/>
        <v>18818</v>
      </c>
      <c r="P32" s="97">
        <f t="shared" si="1"/>
        <v>0.21897436494175967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">
      <c r="A33" s="42">
        <v>1157</v>
      </c>
      <c r="B33" s="77" t="s">
        <v>15</v>
      </c>
      <c r="C33" s="10">
        <v>69169</v>
      </c>
      <c r="D33" s="5">
        <v>75163</v>
      </c>
      <c r="E33" s="5">
        <v>-5994</v>
      </c>
      <c r="F33" s="10">
        <v>121402</v>
      </c>
      <c r="G33" s="5">
        <v>62894</v>
      </c>
      <c r="H33" s="5">
        <v>58508</v>
      </c>
      <c r="I33" s="10">
        <v>109304</v>
      </c>
      <c r="J33" s="5">
        <v>63142</v>
      </c>
      <c r="K33" s="5">
        <v>46162</v>
      </c>
      <c r="L33" s="10">
        <v>53446</v>
      </c>
      <c r="M33" s="5">
        <v>54985</v>
      </c>
      <c r="N33" s="5">
        <v>-1539</v>
      </c>
      <c r="O33" s="10">
        <f t="shared" si="0"/>
        <v>98676</v>
      </c>
      <c r="P33" s="97">
        <f t="shared" si="1"/>
        <v>0.49043737574552682</v>
      </c>
      <c r="Q33" s="101" t="str">
        <f t="shared" si="2"/>
        <v xml:space="preserve"> 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3"/>
        <v xml:space="preserve"> </v>
      </c>
    </row>
    <row r="34" spans="1:22" x14ac:dyDescent="0.2">
      <c r="A34" s="42">
        <v>1281</v>
      </c>
      <c r="B34" s="77" t="s">
        <v>15</v>
      </c>
      <c r="C34" s="10">
        <v>47628</v>
      </c>
      <c r="D34" s="5">
        <v>18196</v>
      </c>
      <c r="E34" s="5">
        <v>29432</v>
      </c>
      <c r="F34" s="10">
        <v>45801</v>
      </c>
      <c r="G34" s="5">
        <v>19349</v>
      </c>
      <c r="H34" s="5">
        <v>26452</v>
      </c>
      <c r="I34" s="10">
        <v>48223</v>
      </c>
      <c r="J34" s="5">
        <v>17811</v>
      </c>
      <c r="K34" s="5">
        <v>30412</v>
      </c>
      <c r="L34" s="10">
        <v>8265</v>
      </c>
      <c r="M34" s="5">
        <v>8715</v>
      </c>
      <c r="N34" s="5">
        <v>-450</v>
      </c>
      <c r="O34" s="10">
        <f t="shared" si="0"/>
        <v>86296</v>
      </c>
      <c r="P34" s="97">
        <f t="shared" si="1"/>
        <v>1.5588995068374369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>X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>X</v>
      </c>
      <c r="U34" s="21" t="str">
        <f>IF($C$4="High Inventory",IF(AND($O34&gt;=0,$P34&gt;=Summary!$C$107),"X"," "),IF(AND($O34&lt;=0,$P34&lt;=-Summary!$C$107),"X"," "))</f>
        <v>X</v>
      </c>
      <c r="V34" t="str">
        <f t="shared" si="3"/>
        <v xml:space="preserve"> </v>
      </c>
    </row>
    <row r="35" spans="1:22" x14ac:dyDescent="0.2">
      <c r="A35" s="42">
        <v>1340</v>
      </c>
      <c r="B35" s="77" t="s">
        <v>15</v>
      </c>
      <c r="C35" s="10">
        <v>4221</v>
      </c>
      <c r="D35" s="5">
        <v>5875</v>
      </c>
      <c r="E35" s="5">
        <v>-1654</v>
      </c>
      <c r="F35" s="10">
        <v>4318</v>
      </c>
      <c r="G35" s="5">
        <v>6124</v>
      </c>
      <c r="H35" s="5">
        <v>-1806</v>
      </c>
      <c r="I35" s="10">
        <v>3706</v>
      </c>
      <c r="J35" s="5">
        <v>6085</v>
      </c>
      <c r="K35" s="5">
        <v>-2379</v>
      </c>
      <c r="L35" s="10">
        <v>1318</v>
      </c>
      <c r="M35" s="5">
        <v>4597</v>
      </c>
      <c r="N35" s="5">
        <v>-3279</v>
      </c>
      <c r="O35" s="10">
        <f t="shared" si="0"/>
        <v>-5839</v>
      </c>
      <c r="P35" s="97">
        <f t="shared" si="1"/>
        <v>-0.32286425214265968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3"/>
        <v xml:space="preserve"> </v>
      </c>
    </row>
    <row r="36" spans="1:22" x14ac:dyDescent="0.2">
      <c r="A36" s="42">
        <v>1377</v>
      </c>
      <c r="B36" s="77" t="s">
        <v>15</v>
      </c>
      <c r="C36" s="10">
        <v>119293</v>
      </c>
      <c r="D36" s="5">
        <v>93385</v>
      </c>
      <c r="E36" s="5">
        <v>25908</v>
      </c>
      <c r="F36" s="10">
        <v>58505</v>
      </c>
      <c r="G36" s="5">
        <v>85162</v>
      </c>
      <c r="H36" s="5">
        <v>-26657</v>
      </c>
      <c r="I36" s="10">
        <v>96731</v>
      </c>
      <c r="J36" s="5">
        <v>89600</v>
      </c>
      <c r="K36" s="5">
        <v>7131</v>
      </c>
      <c r="L36" s="10">
        <v>68999</v>
      </c>
      <c r="M36" s="5">
        <v>85966</v>
      </c>
      <c r="N36" s="5">
        <v>-16967</v>
      </c>
      <c r="O36" s="10">
        <f t="shared" si="0"/>
        <v>6382</v>
      </c>
      <c r="P36" s="97">
        <f t="shared" si="1"/>
        <v>2.3800289392425077E-2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>X</v>
      </c>
      <c r="U36" s="21" t="str">
        <f>IF($C$4="High Inventory",IF(AND($O36&gt;=0,$P36&gt;=Summary!$C$107),"X"," "),IF(AND($O36&lt;=0,$P36&lt;=-Summary!$C$107),"X"," "))</f>
        <v xml:space="preserve"> </v>
      </c>
      <c r="V36" t="str">
        <f t="shared" si="3"/>
        <v xml:space="preserve"> </v>
      </c>
    </row>
    <row r="37" spans="1:22" x14ac:dyDescent="0.2">
      <c r="A37" s="42">
        <v>1830</v>
      </c>
      <c r="B37" s="77" t="s">
        <v>15</v>
      </c>
      <c r="C37" s="10">
        <v>3807</v>
      </c>
      <c r="D37" s="5">
        <v>0</v>
      </c>
      <c r="E37" s="5">
        <v>3807</v>
      </c>
      <c r="F37" s="10">
        <v>0</v>
      </c>
      <c r="G37" s="5">
        <v>0</v>
      </c>
      <c r="H37" s="5">
        <v>0</v>
      </c>
      <c r="I37" s="10">
        <v>0</v>
      </c>
      <c r="J37" s="5">
        <v>0</v>
      </c>
      <c r="K37" s="5">
        <v>0</v>
      </c>
      <c r="L37" s="10">
        <v>0</v>
      </c>
      <c r="M37" s="5">
        <v>1</v>
      </c>
      <c r="N37" s="5">
        <v>-1</v>
      </c>
      <c r="O37" s="10">
        <f t="shared" si="0"/>
        <v>3807</v>
      </c>
      <c r="P37" s="97">
        <f t="shared" si="1"/>
        <v>3807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>X</v>
      </c>
      <c r="V37" t="str">
        <f t="shared" si="3"/>
        <v xml:space="preserve"> </v>
      </c>
    </row>
    <row r="38" spans="1:22" x14ac:dyDescent="0.2">
      <c r="A38" s="42">
        <v>1864</v>
      </c>
      <c r="B38" s="77" t="s">
        <v>15</v>
      </c>
      <c r="C38" s="10">
        <v>388022</v>
      </c>
      <c r="D38" s="5">
        <v>450688</v>
      </c>
      <c r="E38" s="5">
        <v>-62666</v>
      </c>
      <c r="F38" s="10">
        <v>416224</v>
      </c>
      <c r="G38" s="5">
        <v>422275</v>
      </c>
      <c r="H38" s="5">
        <v>-6051</v>
      </c>
      <c r="I38" s="10">
        <v>437283</v>
      </c>
      <c r="J38" s="5">
        <v>416688</v>
      </c>
      <c r="K38" s="5">
        <v>20595</v>
      </c>
      <c r="L38" s="10">
        <v>345028</v>
      </c>
      <c r="M38" s="5">
        <v>367308</v>
      </c>
      <c r="N38" s="5">
        <v>-22280</v>
      </c>
      <c r="O38" s="10">
        <f t="shared" si="0"/>
        <v>-48122</v>
      </c>
      <c r="P38" s="97">
        <f t="shared" si="1"/>
        <v>-3.731394205568634E-2</v>
      </c>
      <c r="Q38" s="101" t="str">
        <f t="shared" si="2"/>
        <v xml:space="preserve"> 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 xml:space="preserve"> </v>
      </c>
      <c r="U38" s="21" t="str">
        <f>IF($C$4="High Inventory",IF(AND($O38&gt;=0,$P38&gt;=Summary!$C$107),"X"," "),IF(AND($O38&lt;=0,$P38&lt;=-Summary!$C$107),"X"," "))</f>
        <v xml:space="preserve"> </v>
      </c>
      <c r="V38" t="str">
        <f t="shared" si="3"/>
        <v xml:space="preserve"> </v>
      </c>
    </row>
    <row r="39" spans="1:22" x14ac:dyDescent="0.2">
      <c r="A39" s="42">
        <v>1922</v>
      </c>
      <c r="B39" s="77" t="s">
        <v>15</v>
      </c>
      <c r="C39" s="10">
        <v>91140</v>
      </c>
      <c r="D39" s="5">
        <v>56766</v>
      </c>
      <c r="E39" s="5">
        <v>34374</v>
      </c>
      <c r="F39" s="10">
        <v>92732</v>
      </c>
      <c r="G39" s="5">
        <v>57202</v>
      </c>
      <c r="H39" s="5">
        <v>35530</v>
      </c>
      <c r="I39" s="10">
        <v>76824</v>
      </c>
      <c r="J39" s="5">
        <v>54369</v>
      </c>
      <c r="K39" s="5">
        <v>22455</v>
      </c>
      <c r="L39" s="10">
        <v>50008</v>
      </c>
      <c r="M39" s="5">
        <v>37654</v>
      </c>
      <c r="N39" s="5">
        <v>12354</v>
      </c>
      <c r="O39" s="10">
        <f t="shared" si="0"/>
        <v>92359</v>
      </c>
      <c r="P39" s="97">
        <f t="shared" si="1"/>
        <v>0.54865211657498603</v>
      </c>
      <c r="Q39" s="101" t="str">
        <f t="shared" si="2"/>
        <v xml:space="preserve"> </v>
      </c>
      <c r="R39" s="91" t="str">
        <f>IF($C$4="High Inventory",IF(AND(O39&gt;=Summary!$C$106,P39&gt;=Summary!$C$107),"X"," "),IF(AND(O39&lt;=-Summary!$C$106,P39&lt;=-Summary!$C$107),"X"," "))</f>
        <v>X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3"/>
        <v xml:space="preserve"> </v>
      </c>
    </row>
    <row r="40" spans="1:22" x14ac:dyDescent="0.2">
      <c r="A40" s="42">
        <v>1928</v>
      </c>
      <c r="B40" s="77" t="s">
        <v>15</v>
      </c>
      <c r="C40" s="10">
        <v>16084</v>
      </c>
      <c r="D40" s="5">
        <v>16142</v>
      </c>
      <c r="E40" s="5">
        <v>-58</v>
      </c>
      <c r="F40" s="10">
        <v>16084</v>
      </c>
      <c r="G40" s="5">
        <v>16831</v>
      </c>
      <c r="H40" s="5">
        <v>-747</v>
      </c>
      <c r="I40" s="10">
        <v>16084</v>
      </c>
      <c r="J40" s="5">
        <v>16070</v>
      </c>
      <c r="K40" s="5">
        <v>14</v>
      </c>
      <c r="L40" s="10">
        <v>13084</v>
      </c>
      <c r="M40" s="5">
        <v>14430</v>
      </c>
      <c r="N40" s="5">
        <v>-1346</v>
      </c>
      <c r="O40" s="10">
        <f t="shared" si="0"/>
        <v>-791</v>
      </c>
      <c r="P40" s="97">
        <f t="shared" si="1"/>
        <v>-1.6128374520838432E-2</v>
      </c>
      <c r="Q40" s="101" t="str">
        <f t="shared" si="2"/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">
      <c r="A41" s="42">
        <v>2056</v>
      </c>
      <c r="B41" s="77" t="s">
        <v>15</v>
      </c>
      <c r="C41" s="10">
        <v>67188</v>
      </c>
      <c r="D41" s="5">
        <v>61260</v>
      </c>
      <c r="E41" s="5">
        <v>5928</v>
      </c>
      <c r="F41" s="10">
        <v>62734</v>
      </c>
      <c r="G41" s="5">
        <v>61348</v>
      </c>
      <c r="H41" s="5">
        <v>1386</v>
      </c>
      <c r="I41" s="10">
        <v>65910</v>
      </c>
      <c r="J41" s="5">
        <v>65664</v>
      </c>
      <c r="K41" s="5">
        <v>246</v>
      </c>
      <c r="L41" s="10">
        <v>60559</v>
      </c>
      <c r="M41" s="5">
        <v>65066</v>
      </c>
      <c r="N41" s="5">
        <v>-4507</v>
      </c>
      <c r="O41" s="10">
        <f t="shared" si="0"/>
        <v>7560</v>
      </c>
      <c r="P41" s="97">
        <f t="shared" si="1"/>
        <v>4.0154456560420243E-2</v>
      </c>
      <c r="Q41" s="101" t="str">
        <f t="shared" si="2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>X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">
      <c r="A42" s="42">
        <v>2280</v>
      </c>
      <c r="B42" s="77" t="s">
        <v>15</v>
      </c>
      <c r="C42" s="10">
        <v>8796</v>
      </c>
      <c r="D42" s="5">
        <v>10333</v>
      </c>
      <c r="E42" s="5">
        <v>-1537</v>
      </c>
      <c r="F42" s="10">
        <v>8796</v>
      </c>
      <c r="G42" s="5">
        <v>10532</v>
      </c>
      <c r="H42" s="5">
        <v>-1736</v>
      </c>
      <c r="I42" s="10">
        <v>8796</v>
      </c>
      <c r="J42" s="5">
        <v>9876</v>
      </c>
      <c r="K42" s="5">
        <v>-1080</v>
      </c>
      <c r="L42" s="10">
        <v>7016</v>
      </c>
      <c r="M42" s="5">
        <v>5870</v>
      </c>
      <c r="N42" s="5">
        <v>1146</v>
      </c>
      <c r="O42" s="10">
        <f t="shared" si="0"/>
        <v>-4353</v>
      </c>
      <c r="P42" s="97">
        <f t="shared" si="1"/>
        <v>-0.14159781406544791</v>
      </c>
      <c r="Q42" s="101" t="str">
        <f t="shared" si="2"/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">
      <c r="A43" s="42">
        <v>2584</v>
      </c>
      <c r="B43" s="77" t="s">
        <v>15</v>
      </c>
      <c r="C43" s="10">
        <v>53184</v>
      </c>
      <c r="D43" s="5">
        <v>57464</v>
      </c>
      <c r="E43" s="5">
        <v>-4280</v>
      </c>
      <c r="F43" s="10">
        <v>58336</v>
      </c>
      <c r="G43" s="5">
        <v>59640</v>
      </c>
      <c r="H43" s="5">
        <v>-1304</v>
      </c>
      <c r="I43" s="10">
        <v>55892</v>
      </c>
      <c r="J43" s="5">
        <v>55377</v>
      </c>
      <c r="K43" s="5">
        <v>515</v>
      </c>
      <c r="L43" s="10">
        <v>46151</v>
      </c>
      <c r="M43" s="5">
        <v>44072</v>
      </c>
      <c r="N43" s="5">
        <v>2079</v>
      </c>
      <c r="O43" s="10">
        <f t="shared" si="0"/>
        <v>-5069</v>
      </c>
      <c r="P43" s="97">
        <f t="shared" si="1"/>
        <v>-2.9388573880173005E-2</v>
      </c>
      <c r="Q43" s="101" t="str">
        <f t="shared" si="2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">
      <c r="A44" s="42">
        <v>2771</v>
      </c>
      <c r="B44" s="77" t="s">
        <v>15</v>
      </c>
      <c r="C44" s="10">
        <v>19742</v>
      </c>
      <c r="D44" s="5">
        <v>25767</v>
      </c>
      <c r="E44" s="5">
        <v>-6025</v>
      </c>
      <c r="F44" s="10">
        <v>14064</v>
      </c>
      <c r="G44" s="5">
        <v>26178</v>
      </c>
      <c r="H44" s="5">
        <v>-12114</v>
      </c>
      <c r="I44" s="10">
        <v>18912</v>
      </c>
      <c r="J44" s="5">
        <v>24334</v>
      </c>
      <c r="K44" s="5">
        <v>-5422</v>
      </c>
      <c r="L44" s="10">
        <v>17918</v>
      </c>
      <c r="M44" s="5">
        <v>17219</v>
      </c>
      <c r="N44" s="5">
        <v>699</v>
      </c>
      <c r="O44" s="10">
        <f t="shared" si="0"/>
        <v>-23561</v>
      </c>
      <c r="P44" s="97">
        <f t="shared" si="1"/>
        <v>-0.30887519664394336</v>
      </c>
      <c r="Q44" s="101" t="str">
        <f t="shared" si="2"/>
        <v xml:space="preserve"> </v>
      </c>
      <c r="R44" s="91" t="str">
        <f>IF($C$4="High Inventory",IF(AND(O44&gt;=Summary!$C$106,P44&gt;=Summary!$C$107),"X"," "),IF(AND(O44&lt;=-Summary!$C$106,P44&lt;=-Summary!$C$107),"X"," "))</f>
        <v xml:space="preserve"> 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 xml:space="preserve"> </v>
      </c>
      <c r="U44" s="21" t="str">
        <f>IF($C$4="High Inventory",IF(AND($O44&gt;=0,$P44&gt;=Summary!$C$107),"X"," "),IF(AND($O44&lt;=0,$P44&lt;=-Summary!$C$107),"X"," "))</f>
        <v xml:space="preserve"> </v>
      </c>
      <c r="V44" t="str">
        <f t="shared" si="4"/>
        <v xml:space="preserve"> </v>
      </c>
    </row>
    <row r="45" spans="1:22" x14ac:dyDescent="0.2">
      <c r="A45" s="42">
        <v>2832</v>
      </c>
      <c r="B45" s="77" t="s">
        <v>15</v>
      </c>
      <c r="C45" s="10">
        <v>5200</v>
      </c>
      <c r="D45" s="5">
        <v>5667</v>
      </c>
      <c r="E45" s="5">
        <v>-467</v>
      </c>
      <c r="F45" s="10">
        <v>5200</v>
      </c>
      <c r="G45" s="5">
        <v>6169</v>
      </c>
      <c r="H45" s="5">
        <v>-969</v>
      </c>
      <c r="I45" s="10">
        <v>5200</v>
      </c>
      <c r="J45" s="5">
        <v>5109</v>
      </c>
      <c r="K45" s="5">
        <v>91</v>
      </c>
      <c r="L45" s="10">
        <v>5350</v>
      </c>
      <c r="M45" s="5">
        <v>3850</v>
      </c>
      <c r="N45" s="5">
        <v>1500</v>
      </c>
      <c r="O45" s="10">
        <f t="shared" si="0"/>
        <v>-1345</v>
      </c>
      <c r="P45" s="97">
        <f t="shared" si="1"/>
        <v>-7.9369762775876318E-2</v>
      </c>
      <c r="Q45" s="101" t="str">
        <f t="shared" si="2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">
      <c r="A46" s="42">
        <v>2892</v>
      </c>
      <c r="B46" s="77" t="s">
        <v>15</v>
      </c>
      <c r="C46" s="10">
        <v>170</v>
      </c>
      <c r="D46" s="5">
        <v>196</v>
      </c>
      <c r="E46" s="5">
        <v>-26</v>
      </c>
      <c r="F46" s="10">
        <v>170</v>
      </c>
      <c r="G46" s="5">
        <v>198</v>
      </c>
      <c r="H46" s="5">
        <v>-28</v>
      </c>
      <c r="I46" s="10">
        <v>170</v>
      </c>
      <c r="J46" s="5">
        <v>200</v>
      </c>
      <c r="K46" s="5">
        <v>-30</v>
      </c>
      <c r="L46" s="10">
        <v>95</v>
      </c>
      <c r="M46" s="5">
        <v>196</v>
      </c>
      <c r="N46" s="5">
        <v>-101</v>
      </c>
      <c r="O46" s="10">
        <f t="shared" si="0"/>
        <v>-84</v>
      </c>
      <c r="P46" s="97">
        <f t="shared" si="1"/>
        <v>-0.14117647058823529</v>
      </c>
      <c r="Q46" s="101" t="str">
        <f t="shared" si="2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">
      <c r="A47" s="42">
        <v>3015</v>
      </c>
      <c r="B47" s="77" t="s">
        <v>15</v>
      </c>
      <c r="C47" s="10">
        <v>20795</v>
      </c>
      <c r="D47" s="5">
        <v>20759</v>
      </c>
      <c r="E47" s="5">
        <v>36</v>
      </c>
      <c r="F47" s="10">
        <v>10795</v>
      </c>
      <c r="G47" s="5">
        <v>21397</v>
      </c>
      <c r="H47" s="5">
        <v>-10602</v>
      </c>
      <c r="I47" s="10">
        <v>20595</v>
      </c>
      <c r="J47" s="5">
        <v>21208</v>
      </c>
      <c r="K47" s="5">
        <v>-613</v>
      </c>
      <c r="L47" s="10">
        <v>20295</v>
      </c>
      <c r="M47" s="5">
        <v>18801</v>
      </c>
      <c r="N47" s="5">
        <v>1494</v>
      </c>
      <c r="O47" s="10">
        <f t="shared" si="0"/>
        <v>-11179</v>
      </c>
      <c r="P47" s="97">
        <f t="shared" si="1"/>
        <v>-0.17642231515821036</v>
      </c>
      <c r="Q47" s="101" t="str">
        <f t="shared" si="2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">
      <c r="A48" s="42">
        <v>4303</v>
      </c>
      <c r="B48" s="77" t="s">
        <v>15</v>
      </c>
      <c r="C48" s="10">
        <v>4127</v>
      </c>
      <c r="D48" s="5">
        <v>3448</v>
      </c>
      <c r="E48" s="5">
        <v>679</v>
      </c>
      <c r="F48" s="10">
        <v>0</v>
      </c>
      <c r="G48" s="5">
        <v>3571</v>
      </c>
      <c r="H48" s="5">
        <v>-3571</v>
      </c>
      <c r="I48" s="10">
        <v>4127</v>
      </c>
      <c r="J48" s="5">
        <v>3391</v>
      </c>
      <c r="K48" s="5">
        <v>736</v>
      </c>
      <c r="L48" s="10">
        <v>2220</v>
      </c>
      <c r="M48" s="5">
        <v>2138</v>
      </c>
      <c r="N48" s="5">
        <v>82</v>
      </c>
      <c r="O48" s="10">
        <f t="shared" si="0"/>
        <v>-2156</v>
      </c>
      <c r="P48" s="97">
        <f t="shared" si="1"/>
        <v>-0.20708865622898856</v>
      </c>
      <c r="Q48" s="101" t="str">
        <f t="shared" si="2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4"/>
        <v xml:space="preserve"> </v>
      </c>
    </row>
    <row r="49" spans="1:22" x14ac:dyDescent="0.2">
      <c r="A49" s="42">
        <v>4438</v>
      </c>
      <c r="B49" s="77" t="s">
        <v>15</v>
      </c>
      <c r="C49" s="10">
        <v>59851</v>
      </c>
      <c r="D49" s="5">
        <v>61693</v>
      </c>
      <c r="E49" s="5">
        <v>-1842</v>
      </c>
      <c r="F49" s="10">
        <v>59921</v>
      </c>
      <c r="G49" s="5">
        <v>57701</v>
      </c>
      <c r="H49" s="5">
        <v>2220</v>
      </c>
      <c r="I49" s="10">
        <v>65983</v>
      </c>
      <c r="J49" s="5">
        <v>58567</v>
      </c>
      <c r="K49" s="5">
        <v>7416</v>
      </c>
      <c r="L49" s="10">
        <v>30268</v>
      </c>
      <c r="M49" s="5">
        <v>37753</v>
      </c>
      <c r="N49" s="5">
        <v>-7485</v>
      </c>
      <c r="O49" s="10">
        <f t="shared" si="0"/>
        <v>7794</v>
      </c>
      <c r="P49" s="97">
        <f t="shared" si="1"/>
        <v>4.3795866533304861E-2</v>
      </c>
      <c r="Q49" s="101" t="str">
        <f t="shared" si="2"/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>X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">
      <c r="A50" s="42">
        <v>4760</v>
      </c>
      <c r="B50" s="77" t="s">
        <v>15</v>
      </c>
      <c r="C50" s="10">
        <v>294108</v>
      </c>
      <c r="D50" s="5">
        <v>243263</v>
      </c>
      <c r="E50" s="5">
        <v>50845</v>
      </c>
      <c r="F50" s="10">
        <v>248410</v>
      </c>
      <c r="G50" s="5">
        <v>240326</v>
      </c>
      <c r="H50" s="5">
        <v>8084</v>
      </c>
      <c r="I50" s="10">
        <v>266990</v>
      </c>
      <c r="J50" s="5">
        <v>219773</v>
      </c>
      <c r="K50" s="5">
        <v>47217</v>
      </c>
      <c r="L50" s="10">
        <v>115949</v>
      </c>
      <c r="M50" s="5">
        <v>187707</v>
      </c>
      <c r="N50" s="5">
        <v>-71758</v>
      </c>
      <c r="O50" s="10">
        <f t="shared" si="0"/>
        <v>106146</v>
      </c>
      <c r="P50" s="97">
        <f t="shared" si="1"/>
        <v>0.15091211792488374</v>
      </c>
      <c r="Q50" s="101" t="str">
        <f t="shared" si="2"/>
        <v xml:space="preserve"> </v>
      </c>
      <c r="R50" s="91" t="str">
        <f>IF($C$4="High Inventory",IF(AND(O50&gt;=Summary!$C$106,P50&gt;=Summary!$C$107),"X"," "),IF(AND(O50&lt;=-Summary!$C$106,P50&lt;=-Summary!$C$107),"X"," "))</f>
        <v>X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>X</v>
      </c>
      <c r="U50" s="21" t="str">
        <f>IF($C$4="High Inventory",IF(AND($O50&gt;=0,$P50&gt;=Summary!$C$107),"X"," "),IF(AND($O50&lt;=0,$P50&lt;=-Summary!$C$107),"X"," "))</f>
        <v>X</v>
      </c>
      <c r="V50" t="str">
        <f t="shared" si="4"/>
        <v xml:space="preserve"> </v>
      </c>
    </row>
    <row r="51" spans="1:22" x14ac:dyDescent="0.2">
      <c r="A51" s="42">
        <v>6084</v>
      </c>
      <c r="B51" s="77" t="s">
        <v>15</v>
      </c>
      <c r="C51" s="10">
        <v>0</v>
      </c>
      <c r="D51" s="5">
        <v>15</v>
      </c>
      <c r="E51" s="5">
        <v>-15</v>
      </c>
      <c r="F51" s="10">
        <v>0</v>
      </c>
      <c r="G51" s="5">
        <v>30</v>
      </c>
      <c r="H51" s="5">
        <v>-30</v>
      </c>
      <c r="I51" s="10">
        <v>0</v>
      </c>
      <c r="J51" s="5">
        <v>12</v>
      </c>
      <c r="K51" s="5">
        <v>-12</v>
      </c>
      <c r="L51" s="10">
        <v>0</v>
      </c>
      <c r="M51" s="5">
        <v>0</v>
      </c>
      <c r="N51" s="5">
        <v>0</v>
      </c>
      <c r="O51" s="10">
        <f t="shared" si="0"/>
        <v>-57</v>
      </c>
      <c r="P51" s="97">
        <f t="shared" si="1"/>
        <v>-0.98275862068965514</v>
      </c>
      <c r="Q51" s="101" t="str">
        <f t="shared" si="2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">
      <c r="A52" s="42">
        <v>6728</v>
      </c>
      <c r="B52" s="77" t="s">
        <v>15</v>
      </c>
      <c r="C52" s="10">
        <v>12000</v>
      </c>
      <c r="D52" s="5">
        <v>7093</v>
      </c>
      <c r="E52" s="5">
        <v>4907</v>
      </c>
      <c r="F52" s="10">
        <v>12000</v>
      </c>
      <c r="G52" s="5">
        <v>7649</v>
      </c>
      <c r="H52" s="5">
        <v>4351</v>
      </c>
      <c r="I52" s="10">
        <v>12000</v>
      </c>
      <c r="J52" s="5">
        <v>6406</v>
      </c>
      <c r="K52" s="5">
        <v>5594</v>
      </c>
      <c r="L52" s="10">
        <v>12000</v>
      </c>
      <c r="M52" s="5">
        <v>10231</v>
      </c>
      <c r="N52" s="5">
        <v>1769</v>
      </c>
      <c r="O52" s="10">
        <f t="shared" si="0"/>
        <v>14852</v>
      </c>
      <c r="P52" s="97">
        <f t="shared" si="1"/>
        <v>0.70225542578845335</v>
      </c>
      <c r="Q52" s="101" t="str">
        <f t="shared" si="2"/>
        <v xml:space="preserve"> </v>
      </c>
      <c r="R52" s="91" t="str">
        <f>IF($C$4="High Inventory",IF(AND(O52&gt;=Summary!$C$106,P52&gt;=Summary!$C$107),"X"," "),IF(AND(O52&lt;=-Summary!$C$106,P52&lt;=-Summary!$C$107),"X"," "))</f>
        <v>X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>X</v>
      </c>
      <c r="U52" s="21" t="str">
        <f>IF($C$4="High Inventory",IF(AND($O52&gt;=0,$P52&gt;=Summary!$C$107),"X"," "),IF(AND($O52&lt;=0,$P52&lt;=-Summary!$C$107),"X"," "))</f>
        <v>X</v>
      </c>
      <c r="V52" t="str">
        <f t="shared" si="4"/>
        <v xml:space="preserve"> </v>
      </c>
    </row>
    <row r="53" spans="1:22" x14ac:dyDescent="0.2">
      <c r="A53" s="42">
        <v>12296</v>
      </c>
      <c r="B53" s="77" t="s">
        <v>15</v>
      </c>
      <c r="C53" s="10">
        <v>27432</v>
      </c>
      <c r="D53" s="5">
        <v>30307</v>
      </c>
      <c r="E53" s="5">
        <v>-2875</v>
      </c>
      <c r="F53" s="10">
        <v>27432</v>
      </c>
      <c r="G53" s="5">
        <v>29943</v>
      </c>
      <c r="H53" s="5">
        <v>-2511</v>
      </c>
      <c r="I53" s="10">
        <v>27432</v>
      </c>
      <c r="J53" s="5">
        <v>29606</v>
      </c>
      <c r="K53" s="5">
        <v>-2174</v>
      </c>
      <c r="L53" s="10">
        <v>23442</v>
      </c>
      <c r="M53" s="5">
        <v>26457</v>
      </c>
      <c r="N53" s="5">
        <v>-3015</v>
      </c>
      <c r="O53" s="10">
        <f t="shared" si="0"/>
        <v>-7560</v>
      </c>
      <c r="P53" s="97">
        <f t="shared" si="1"/>
        <v>-8.4133679067852254E-2</v>
      </c>
      <c r="Q53" s="101" t="str">
        <f t="shared" si="2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hidden="1" x14ac:dyDescent="0.2">
      <c r="A54" s="42"/>
      <c r="B54" s="77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ref="O54:O62" si="5">K54+H54+E54</f>
        <v>0</v>
      </c>
      <c r="P54" s="97">
        <f t="shared" ref="P54:P62" si="6">O54/(J54+G54+D54+1)</f>
        <v>0</v>
      </c>
      <c r="Q54" s="101" t="str">
        <f t="shared" si="2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4"/>
        <v xml:space="preserve"> </v>
      </c>
    </row>
    <row r="55" spans="1:22" hidden="1" x14ac:dyDescent="0.2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5"/>
        <v>0</v>
      </c>
      <c r="P55" s="97">
        <f t="shared" si="6"/>
        <v>0</v>
      </c>
      <c r="Q55" s="101" t="str">
        <f t="shared" si="2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">
      <c r="A56" s="42"/>
      <c r="B56" s="77"/>
      <c r="C56" s="15">
        <v>36670</v>
      </c>
      <c r="D56" s="5"/>
      <c r="E56" s="6"/>
      <c r="F56" s="15">
        <v>36671</v>
      </c>
      <c r="G56" s="5"/>
      <c r="H56" s="6"/>
      <c r="I56" s="15">
        <v>36672</v>
      </c>
      <c r="J56" s="5"/>
      <c r="K56" s="6"/>
      <c r="L56" s="15">
        <v>36673</v>
      </c>
      <c r="M56" s="5"/>
      <c r="N56" s="6"/>
      <c r="O56" s="10">
        <f t="shared" si="5"/>
        <v>0</v>
      </c>
      <c r="P56" s="97">
        <f t="shared" si="6"/>
        <v>0</v>
      </c>
      <c r="Q56" s="101" t="str">
        <f t="shared" si="2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">
      <c r="A57" s="42" t="s">
        <v>6</v>
      </c>
      <c r="B57" s="77" t="s">
        <v>7</v>
      </c>
      <c r="C57" s="15" t="s">
        <v>37</v>
      </c>
      <c r="D57" s="5" t="s">
        <v>40</v>
      </c>
      <c r="E57" s="5" t="s">
        <v>41</v>
      </c>
      <c r="F57" s="15" t="s">
        <v>37</v>
      </c>
      <c r="G57" s="5" t="s">
        <v>40</v>
      </c>
      <c r="H57" s="5" t="s">
        <v>41</v>
      </c>
      <c r="I57" s="15" t="s">
        <v>37</v>
      </c>
      <c r="J57" s="5" t="s">
        <v>40</v>
      </c>
      <c r="K57" s="5" t="s">
        <v>41</v>
      </c>
      <c r="L57" s="15" t="s">
        <v>37</v>
      </c>
      <c r="M57" s="5" t="s">
        <v>40</v>
      </c>
      <c r="N57" s="5" t="s">
        <v>41</v>
      </c>
      <c r="O57" s="10" t="e">
        <f t="shared" si="5"/>
        <v>#VALUE!</v>
      </c>
      <c r="P57" s="97" t="e">
        <f t="shared" si="6"/>
        <v>#VALUE!</v>
      </c>
      <c r="Q57" s="101" t="str">
        <f t="shared" si="2"/>
        <v xml:space="preserve"> </v>
      </c>
      <c r="R57" s="91" t="e">
        <f>IF($C$4="High Inventory",IF(AND(O57&gt;=Summary!$C$106,P57&gt;=Summary!$C$107),"X"," "),IF(AND(O57&lt;=-Summary!$C$106,P57&lt;=-Summary!$C$107),"X"," "))</f>
        <v>#VALUE!</v>
      </c>
      <c r="S57" s="21" t="e">
        <f>IF(AND(L57-I57&gt;=Summary!$C$110,N57-K57&gt;Summary!$C$110,N57&gt;0),"X"," ")</f>
        <v>#VALUE!</v>
      </c>
      <c r="T57" s="17" t="e">
        <f>IF($C$4="High Inventory",IF(AND($O57&gt;=Summary!$C$106,$P57&gt;=0%),"X"," "),IF(AND($O57&lt;=-Summary!$C$106,$P57&lt;=0%),"X"," "))</f>
        <v>#VALUE!</v>
      </c>
      <c r="U57" s="21" t="e">
        <f>IF($C$4="High Inventory",IF(AND($O57&gt;=0,$P57&gt;=Summary!$C$107),"X"," "),IF(AND($O57&lt;=0,$P57&lt;=-Summary!$C$107),"X"," "))</f>
        <v>#VALUE!</v>
      </c>
      <c r="V57" t="e">
        <f t="shared" si="4"/>
        <v>#VALUE!</v>
      </c>
    </row>
    <row r="58" spans="1:22" x14ac:dyDescent="0.2">
      <c r="A58" s="42">
        <v>51</v>
      </c>
      <c r="B58" s="77" t="s">
        <v>17</v>
      </c>
      <c r="C58" s="10">
        <v>12566</v>
      </c>
      <c r="D58" s="5">
        <v>10496</v>
      </c>
      <c r="E58" s="5">
        <v>2070</v>
      </c>
      <c r="F58" s="10">
        <v>12566</v>
      </c>
      <c r="G58" s="5">
        <v>9909</v>
      </c>
      <c r="H58" s="5">
        <v>2657</v>
      </c>
      <c r="I58" s="10">
        <v>12566</v>
      </c>
      <c r="J58" s="5">
        <v>9449</v>
      </c>
      <c r="K58" s="5">
        <v>3117</v>
      </c>
      <c r="L58" s="10">
        <v>12566</v>
      </c>
      <c r="M58" s="5">
        <v>7024</v>
      </c>
      <c r="N58" s="5">
        <v>5542</v>
      </c>
      <c r="O58" s="10">
        <f t="shared" si="5"/>
        <v>7844</v>
      </c>
      <c r="P58" s="97">
        <f t="shared" si="6"/>
        <v>0.26273656004019424</v>
      </c>
      <c r="Q58" s="101" t="str">
        <f t="shared" si="2"/>
        <v xml:space="preserve"> </v>
      </c>
      <c r="R58" s="91" t="str">
        <f>IF($C$4="High Inventory",IF(AND(O58&gt;=Summary!$C$106,P58&gt;=Summary!$C$107),"X"," "),IF(AND(O58&lt;=-Summary!$C$106,P58&lt;=-Summary!$C$107),"X"," "))</f>
        <v>X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>X</v>
      </c>
      <c r="U58" s="21" t="str">
        <f>IF($C$4="High Inventory",IF(AND($O58&gt;=0,$P58&gt;=Summary!$C$107),"X"," "),IF(AND($O58&lt;=0,$P58&lt;=-Summary!$C$107),"X"," "))</f>
        <v>X</v>
      </c>
      <c r="V58" t="str">
        <f t="shared" si="4"/>
        <v xml:space="preserve"> </v>
      </c>
    </row>
    <row r="59" spans="1:22" x14ac:dyDescent="0.2">
      <c r="A59" s="42">
        <v>282</v>
      </c>
      <c r="B59" s="77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5"/>
        <v>0</v>
      </c>
      <c r="P59" s="97">
        <f t="shared" si="6"/>
        <v>0</v>
      </c>
      <c r="Q59" s="101" t="str">
        <f t="shared" si="2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4"/>
        <v xml:space="preserve"> </v>
      </c>
    </row>
    <row r="60" spans="1:22" x14ac:dyDescent="0.2">
      <c r="A60" s="42">
        <v>289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si="5"/>
        <v>0</v>
      </c>
      <c r="P60" s="97">
        <f t="shared" si="6"/>
        <v>0</v>
      </c>
      <c r="Q60" s="101" t="str">
        <f t="shared" si="2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">
      <c r="A61" s="42">
        <v>476</v>
      </c>
      <c r="B61" s="77" t="s">
        <v>17</v>
      </c>
      <c r="C61" s="10">
        <v>0</v>
      </c>
      <c r="D61" s="5">
        <v>0</v>
      </c>
      <c r="E61" s="5">
        <v>0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 t="shared" si="5"/>
        <v>0</v>
      </c>
      <c r="P61" s="97">
        <f t="shared" si="6"/>
        <v>0</v>
      </c>
      <c r="Q61" s="101" t="str">
        <f t="shared" si="2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">
      <c r="A62" s="42">
        <v>512</v>
      </c>
      <c r="B62" s="77" t="s">
        <v>17</v>
      </c>
      <c r="C62" s="10">
        <v>1308</v>
      </c>
      <c r="D62" s="5">
        <v>1460</v>
      </c>
      <c r="E62" s="5">
        <v>-152</v>
      </c>
      <c r="F62" s="10">
        <v>1308</v>
      </c>
      <c r="G62" s="5">
        <v>1493</v>
      </c>
      <c r="H62" s="5">
        <v>-185</v>
      </c>
      <c r="I62" s="10">
        <v>2648</v>
      </c>
      <c r="J62" s="5">
        <v>3270</v>
      </c>
      <c r="K62" s="5">
        <v>-622</v>
      </c>
      <c r="L62" s="10">
        <v>1452</v>
      </c>
      <c r="M62" s="5">
        <v>2246</v>
      </c>
      <c r="N62" s="5">
        <v>-794</v>
      </c>
      <c r="O62" s="10">
        <f t="shared" si="5"/>
        <v>-959</v>
      </c>
      <c r="P62" s="97">
        <f t="shared" si="6"/>
        <v>-0.15408097686375322</v>
      </c>
      <c r="Q62" s="101" t="str">
        <f t="shared" si="2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">
      <c r="A63" s="42">
        <v>589</v>
      </c>
      <c r="B63" s="77" t="s">
        <v>17</v>
      </c>
      <c r="C63" s="10">
        <v>0</v>
      </c>
      <c r="D63" s="5">
        <v>77</v>
      </c>
      <c r="E63" s="5">
        <v>-77</v>
      </c>
      <c r="F63" s="10">
        <v>0</v>
      </c>
      <c r="G63" s="5">
        <v>81</v>
      </c>
      <c r="H63" s="5">
        <v>-81</v>
      </c>
      <c r="I63" s="10">
        <v>0</v>
      </c>
      <c r="J63" s="5">
        <v>79</v>
      </c>
      <c r="K63" s="5">
        <v>-79</v>
      </c>
      <c r="L63" s="10">
        <v>0</v>
      </c>
      <c r="M63" s="5">
        <v>59</v>
      </c>
      <c r="N63" s="5">
        <v>-59</v>
      </c>
      <c r="O63" s="10">
        <f t="shared" ref="O63:O85" si="7">K63+H63+E63</f>
        <v>-237</v>
      </c>
      <c r="P63" s="97">
        <f t="shared" ref="P63:P85" si="8">O63/(J63+G63+D63+1)</f>
        <v>-0.99579831932773111</v>
      </c>
      <c r="Q63" s="101" t="str">
        <f t="shared" si="2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">
      <c r="A64" s="42">
        <v>757</v>
      </c>
      <c r="B64" s="77" t="s">
        <v>17</v>
      </c>
      <c r="C64" s="10">
        <v>0</v>
      </c>
      <c r="D64" s="5">
        <v>549</v>
      </c>
      <c r="E64" s="5">
        <v>-549</v>
      </c>
      <c r="F64" s="10">
        <v>0</v>
      </c>
      <c r="G64" s="5">
        <v>533</v>
      </c>
      <c r="H64" s="5">
        <v>-533</v>
      </c>
      <c r="I64" s="10">
        <v>0</v>
      </c>
      <c r="J64" s="5">
        <v>477</v>
      </c>
      <c r="K64" s="5">
        <v>-477</v>
      </c>
      <c r="L64" s="10">
        <v>0</v>
      </c>
      <c r="M64" s="5">
        <v>479</v>
      </c>
      <c r="N64" s="5">
        <v>-479</v>
      </c>
      <c r="O64" s="10">
        <f>K64+H64+E64</f>
        <v>-1559</v>
      </c>
      <c r="P64" s="97">
        <f>O64/(J64+G64+D64+1)</f>
        <v>-0.99935897435897436</v>
      </c>
      <c r="Q64" s="101" t="str">
        <f t="shared" si="2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">
      <c r="A65" s="42">
        <v>761</v>
      </c>
      <c r="B65" s="77" t="s">
        <v>17</v>
      </c>
      <c r="C65" s="10">
        <v>0</v>
      </c>
      <c r="D65" s="5">
        <v>6</v>
      </c>
      <c r="E65" s="5">
        <v>-6</v>
      </c>
      <c r="F65" s="10">
        <v>0</v>
      </c>
      <c r="G65" s="5">
        <v>6</v>
      </c>
      <c r="H65" s="5">
        <v>-6</v>
      </c>
      <c r="I65" s="10">
        <v>0</v>
      </c>
      <c r="J65" s="5">
        <v>6</v>
      </c>
      <c r="K65" s="5">
        <v>-6</v>
      </c>
      <c r="L65" s="10">
        <v>0</v>
      </c>
      <c r="M65" s="5">
        <v>6</v>
      </c>
      <c r="N65" s="5">
        <v>-6</v>
      </c>
      <c r="O65" s="10">
        <f>K65+H65+E65</f>
        <v>-18</v>
      </c>
      <c r="P65" s="97">
        <f>O65/(J65+G65+D65+1)</f>
        <v>-0.94736842105263153</v>
      </c>
      <c r="Q65" s="101" t="str">
        <f t="shared" si="2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">
      <c r="A66" s="42">
        <v>764</v>
      </c>
      <c r="B66" s="77" t="s">
        <v>17</v>
      </c>
      <c r="C66" s="10">
        <v>196</v>
      </c>
      <c r="D66" s="5">
        <v>147</v>
      </c>
      <c r="E66" s="5">
        <v>49</v>
      </c>
      <c r="F66" s="10">
        <v>196</v>
      </c>
      <c r="G66" s="5">
        <v>173</v>
      </c>
      <c r="H66" s="5">
        <v>23</v>
      </c>
      <c r="I66" s="10">
        <v>196</v>
      </c>
      <c r="J66" s="5">
        <v>178</v>
      </c>
      <c r="K66" s="5">
        <v>18</v>
      </c>
      <c r="L66" s="10">
        <v>196</v>
      </c>
      <c r="M66" s="5">
        <v>159</v>
      </c>
      <c r="N66" s="5">
        <v>37</v>
      </c>
      <c r="O66" s="10">
        <f t="shared" si="7"/>
        <v>90</v>
      </c>
      <c r="P66" s="97">
        <f t="shared" si="8"/>
        <v>0.18036072144288579</v>
      </c>
      <c r="Q66" s="101" t="str">
        <f t="shared" si="2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>X</v>
      </c>
      <c r="V66" t="str">
        <f t="shared" si="4"/>
        <v xml:space="preserve"> </v>
      </c>
    </row>
    <row r="67" spans="1:22" x14ac:dyDescent="0.2">
      <c r="A67" s="42">
        <v>765</v>
      </c>
      <c r="B67" s="77" t="s">
        <v>17</v>
      </c>
      <c r="C67" s="10">
        <v>7271</v>
      </c>
      <c r="D67" s="5">
        <v>7180</v>
      </c>
      <c r="E67" s="5">
        <v>91</v>
      </c>
      <c r="F67" s="10">
        <v>7271</v>
      </c>
      <c r="G67" s="5">
        <v>7345</v>
      </c>
      <c r="H67" s="5">
        <v>-74</v>
      </c>
      <c r="I67" s="10">
        <v>7271</v>
      </c>
      <c r="J67" s="5">
        <v>7414</v>
      </c>
      <c r="K67" s="5">
        <v>-143</v>
      </c>
      <c r="L67" s="10">
        <v>7271</v>
      </c>
      <c r="M67" s="5">
        <v>7403</v>
      </c>
      <c r="N67" s="5">
        <v>-132</v>
      </c>
      <c r="O67" s="10">
        <f t="shared" si="7"/>
        <v>-126</v>
      </c>
      <c r="P67" s="97">
        <f t="shared" si="8"/>
        <v>-5.7429352780309934E-3</v>
      </c>
      <c r="Q67" s="101" t="str">
        <f t="shared" si="2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">
      <c r="A68" s="42">
        <v>779</v>
      </c>
      <c r="B68" s="77" t="s">
        <v>17</v>
      </c>
      <c r="C68" s="10">
        <v>800</v>
      </c>
      <c r="D68" s="5">
        <v>1108</v>
      </c>
      <c r="E68" s="5">
        <v>-308</v>
      </c>
      <c r="F68" s="10">
        <v>800</v>
      </c>
      <c r="G68" s="5">
        <v>1336</v>
      </c>
      <c r="H68" s="5">
        <v>-536</v>
      </c>
      <c r="I68" s="10">
        <v>800</v>
      </c>
      <c r="J68" s="5">
        <v>1301</v>
      </c>
      <c r="K68" s="5">
        <v>-501</v>
      </c>
      <c r="L68" s="10">
        <v>800</v>
      </c>
      <c r="M68" s="5">
        <v>1207</v>
      </c>
      <c r="N68" s="5">
        <v>-407</v>
      </c>
      <c r="O68" s="10">
        <f>K68+H68+E68</f>
        <v>-1345</v>
      </c>
      <c r="P68" s="97">
        <f>O68/(J68+G68+D68+1)</f>
        <v>-0.35904965296316071</v>
      </c>
      <c r="Q68" s="101" t="str">
        <f t="shared" si="2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">
      <c r="A69" s="42">
        <v>804</v>
      </c>
      <c r="B69" s="77" t="s">
        <v>17</v>
      </c>
      <c r="C69" s="10">
        <v>0</v>
      </c>
      <c r="D69" s="5">
        <v>168</v>
      </c>
      <c r="E69" s="5">
        <v>-168</v>
      </c>
      <c r="F69" s="10">
        <v>0</v>
      </c>
      <c r="G69" s="5">
        <v>177</v>
      </c>
      <c r="H69" s="5">
        <v>-177</v>
      </c>
      <c r="I69" s="10">
        <v>0</v>
      </c>
      <c r="J69" s="5">
        <v>176</v>
      </c>
      <c r="K69" s="5">
        <v>-176</v>
      </c>
      <c r="L69" s="10">
        <v>0</v>
      </c>
      <c r="M69" s="5">
        <v>172</v>
      </c>
      <c r="N69" s="5">
        <v>-172</v>
      </c>
      <c r="O69" s="10">
        <f t="shared" si="7"/>
        <v>-521</v>
      </c>
      <c r="P69" s="97">
        <f t="shared" si="8"/>
        <v>-0.99808429118773945</v>
      </c>
      <c r="Q69" s="101" t="str">
        <f t="shared" si="2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">
      <c r="A70" s="42">
        <v>899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7">
        <f>O70/(J70+G70+D70+1)</f>
        <v>0</v>
      </c>
      <c r="Q70" s="101" t="str">
        <f t="shared" si="2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">
      <c r="A71" s="42">
        <v>928</v>
      </c>
      <c r="B71" s="77" t="s">
        <v>17</v>
      </c>
      <c r="C71" s="10">
        <v>190</v>
      </c>
      <c r="D71" s="5">
        <v>188</v>
      </c>
      <c r="E71" s="5">
        <v>2</v>
      </c>
      <c r="F71" s="10">
        <v>190</v>
      </c>
      <c r="G71" s="5">
        <v>191</v>
      </c>
      <c r="H71" s="5">
        <v>-1</v>
      </c>
      <c r="I71" s="10">
        <v>190</v>
      </c>
      <c r="J71" s="5">
        <v>188</v>
      </c>
      <c r="K71" s="5">
        <v>2</v>
      </c>
      <c r="L71" s="10">
        <v>190</v>
      </c>
      <c r="M71" s="5">
        <v>187</v>
      </c>
      <c r="N71" s="5">
        <v>3</v>
      </c>
      <c r="O71" s="10">
        <f>K71+H71+E71</f>
        <v>3</v>
      </c>
      <c r="P71" s="97">
        <f>O71/(J71+G71+D71+1)</f>
        <v>5.2816901408450703E-3</v>
      </c>
      <c r="Q71" s="101" t="str">
        <f t="shared" si="2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">
      <c r="A72" s="42">
        <v>997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 t="shared" si="7"/>
        <v>0</v>
      </c>
      <c r="P72" s="97">
        <f t="shared" si="8"/>
        <v>0</v>
      </c>
      <c r="Q72" s="101" t="str">
        <f t="shared" si="2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">
      <c r="A73" s="42">
        <v>5342</v>
      </c>
      <c r="B73" s="77" t="s">
        <v>17</v>
      </c>
      <c r="C73" s="10">
        <v>0</v>
      </c>
      <c r="D73" s="5">
        <v>0</v>
      </c>
      <c r="E73" s="5">
        <v>0</v>
      </c>
      <c r="F73" s="10">
        <v>0</v>
      </c>
      <c r="G73" s="5">
        <v>0</v>
      </c>
      <c r="H73" s="5">
        <v>0</v>
      </c>
      <c r="I73" s="10">
        <v>0</v>
      </c>
      <c r="J73" s="5">
        <v>0</v>
      </c>
      <c r="K73" s="5">
        <v>0</v>
      </c>
      <c r="L73" s="10">
        <v>0</v>
      </c>
      <c r="M73" s="5">
        <v>0</v>
      </c>
      <c r="N73" s="5">
        <v>0</v>
      </c>
      <c r="O73" s="10">
        <f>K73+H73+E73</f>
        <v>0</v>
      </c>
      <c r="P73" s="97">
        <f>O73/(J73+G73+D73+1)</f>
        <v>0</v>
      </c>
      <c r="Q73" s="101" t="str">
        <f t="shared" si="2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4"/>
        <v xml:space="preserve"> </v>
      </c>
    </row>
    <row r="74" spans="1:22" x14ac:dyDescent="0.2">
      <c r="A74" s="42">
        <v>5379</v>
      </c>
      <c r="B74" s="77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>K74+H74+E74</f>
        <v>0</v>
      </c>
      <c r="P74" s="97">
        <f>O74/(J74+G74+D74+1)</f>
        <v>0</v>
      </c>
      <c r="Q74" s="101" t="str">
        <f t="shared" ref="Q74:Q87" si="9">" "</f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87" si="10">IF(S74 = "X",L74-I74," ")</f>
        <v xml:space="preserve"> </v>
      </c>
    </row>
    <row r="75" spans="1:22" x14ac:dyDescent="0.2">
      <c r="A75" s="42">
        <v>7088</v>
      </c>
      <c r="B75" s="77" t="s">
        <v>17</v>
      </c>
      <c r="C75" s="10">
        <v>0</v>
      </c>
      <c r="D75" s="5">
        <v>20</v>
      </c>
      <c r="E75" s="5">
        <v>-20</v>
      </c>
      <c r="F75" s="10">
        <v>0</v>
      </c>
      <c r="G75" s="5">
        <v>18</v>
      </c>
      <c r="H75" s="5">
        <v>-18</v>
      </c>
      <c r="I75" s="10">
        <v>0</v>
      </c>
      <c r="J75" s="5">
        <v>11</v>
      </c>
      <c r="K75" s="5">
        <v>-11</v>
      </c>
      <c r="L75" s="10">
        <v>0</v>
      </c>
      <c r="M75" s="5">
        <v>8</v>
      </c>
      <c r="N75" s="5">
        <v>-8</v>
      </c>
      <c r="O75" s="10">
        <f t="shared" si="7"/>
        <v>-49</v>
      </c>
      <c r="P75" s="97">
        <f t="shared" si="8"/>
        <v>-0.98</v>
      </c>
      <c r="Q75" s="101" t="str">
        <f t="shared" si="9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">
      <c r="A76" s="42">
        <v>7602</v>
      </c>
      <c r="B76" s="77" t="s">
        <v>17</v>
      </c>
      <c r="C76" s="10">
        <v>34419</v>
      </c>
      <c r="D76" s="5">
        <v>45150</v>
      </c>
      <c r="E76" s="5">
        <v>-10731</v>
      </c>
      <c r="F76" s="10">
        <v>29358</v>
      </c>
      <c r="G76" s="5">
        <v>44776</v>
      </c>
      <c r="H76" s="5">
        <v>-15418</v>
      </c>
      <c r="I76" s="10">
        <v>34422</v>
      </c>
      <c r="J76" s="5">
        <v>41423</v>
      </c>
      <c r="K76" s="5">
        <v>-7001</v>
      </c>
      <c r="L76" s="10">
        <v>34763</v>
      </c>
      <c r="M76" s="5">
        <v>37929</v>
      </c>
      <c r="N76" s="5">
        <v>-3166</v>
      </c>
      <c r="O76" s="10">
        <f t="shared" si="7"/>
        <v>-33150</v>
      </c>
      <c r="P76" s="97">
        <f t="shared" si="8"/>
        <v>-0.25237913970308334</v>
      </c>
      <c r="Q76" s="101" t="str">
        <f t="shared" si="9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0"/>
        <v xml:space="preserve"> </v>
      </c>
    </row>
    <row r="77" spans="1:22" x14ac:dyDescent="0.2">
      <c r="A77" s="42">
        <v>7604</v>
      </c>
      <c r="B77" s="77" t="s">
        <v>17</v>
      </c>
      <c r="C77" s="10">
        <v>77974</v>
      </c>
      <c r="D77" s="5">
        <v>63333</v>
      </c>
      <c r="E77" s="5">
        <v>14641</v>
      </c>
      <c r="F77" s="10">
        <v>80361</v>
      </c>
      <c r="G77" s="5">
        <v>65121</v>
      </c>
      <c r="H77" s="5">
        <v>15240</v>
      </c>
      <c r="I77" s="10">
        <v>79360</v>
      </c>
      <c r="J77" s="5">
        <v>61044</v>
      </c>
      <c r="K77" s="5">
        <v>18316</v>
      </c>
      <c r="L77" s="10">
        <v>69522</v>
      </c>
      <c r="M77" s="5">
        <v>59541</v>
      </c>
      <c r="N77" s="5">
        <v>9981</v>
      </c>
      <c r="O77" s="10">
        <f t="shared" si="7"/>
        <v>48197</v>
      </c>
      <c r="P77" s="97">
        <f t="shared" si="8"/>
        <v>0.25433907302940911</v>
      </c>
      <c r="Q77" s="101" t="str">
        <f t="shared" si="9"/>
        <v xml:space="preserve"> </v>
      </c>
      <c r="R77" s="91" t="str">
        <f>IF($C$4="High Inventory",IF(AND(O77&gt;=Summary!$C$106,P77&gt;=Summary!$C$107),"X"," "),IF(AND(O77&lt;=-Summary!$C$106,P77&lt;=-Summary!$C$107),"X"," "))</f>
        <v>X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>X</v>
      </c>
      <c r="U77" s="21" t="str">
        <f>IF($C$4="High Inventory",IF(AND($O77&gt;=0,$P77&gt;=Summary!$C$107),"X"," "),IF(AND($O77&lt;=0,$P77&lt;=-Summary!$C$107),"X"," "))</f>
        <v>X</v>
      </c>
      <c r="V77" t="str">
        <f t="shared" si="10"/>
        <v xml:space="preserve"> </v>
      </c>
    </row>
    <row r="78" spans="1:22" x14ac:dyDescent="0.2">
      <c r="A78" s="42">
        <v>8576</v>
      </c>
      <c r="B78" s="77" t="s">
        <v>17</v>
      </c>
      <c r="C78" s="10">
        <v>0</v>
      </c>
      <c r="D78" s="5">
        <v>0</v>
      </c>
      <c r="E78" s="5">
        <v>0</v>
      </c>
      <c r="F78" s="10">
        <v>0</v>
      </c>
      <c r="G78" s="5">
        <v>0</v>
      </c>
      <c r="H78" s="5">
        <v>0</v>
      </c>
      <c r="I78" s="10">
        <v>0</v>
      </c>
      <c r="J78" s="5">
        <v>0</v>
      </c>
      <c r="K78" s="5">
        <v>0</v>
      </c>
      <c r="L78" s="10">
        <v>0</v>
      </c>
      <c r="M78" s="5">
        <v>0</v>
      </c>
      <c r="N78" s="5">
        <v>0</v>
      </c>
      <c r="O78" s="10">
        <f>K78+H78+E78</f>
        <v>0</v>
      </c>
      <c r="P78" s="97">
        <f>O78/(J78+G78+D78+1)</f>
        <v>0</v>
      </c>
      <c r="Q78" s="101" t="str">
        <f t="shared" si="9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10"/>
        <v xml:space="preserve"> </v>
      </c>
    </row>
    <row r="79" spans="1:22" x14ac:dyDescent="0.2">
      <c r="A79" s="42">
        <v>8577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 t="shared" si="7"/>
        <v>0</v>
      </c>
      <c r="P79" s="97">
        <f t="shared" si="8"/>
        <v>0</v>
      </c>
      <c r="Q79" s="101" t="str">
        <f t="shared" si="9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">
      <c r="A80" s="42">
        <v>8578</v>
      </c>
      <c r="B80" s="77" t="s">
        <v>17</v>
      </c>
      <c r="C80" s="10">
        <v>0</v>
      </c>
      <c r="D80" s="5">
        <v>0</v>
      </c>
      <c r="E80" s="5">
        <v>0</v>
      </c>
      <c r="F80" s="10">
        <v>0</v>
      </c>
      <c r="G80" s="5">
        <v>0</v>
      </c>
      <c r="H80" s="5">
        <v>0</v>
      </c>
      <c r="I80" s="10">
        <v>0</v>
      </c>
      <c r="J80" s="5">
        <v>0</v>
      </c>
      <c r="K80" s="5">
        <v>0</v>
      </c>
      <c r="L80" s="10">
        <v>0</v>
      </c>
      <c r="M80" s="5">
        <v>0</v>
      </c>
      <c r="N80" s="5">
        <v>0</v>
      </c>
      <c r="O80" s="10">
        <f t="shared" si="7"/>
        <v>0</v>
      </c>
      <c r="P80" s="97">
        <f t="shared" si="8"/>
        <v>0</v>
      </c>
      <c r="Q80" s="101" t="str">
        <f t="shared" si="9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">
      <c r="A81" s="42">
        <v>8579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7"/>
        <v>0</v>
      </c>
      <c r="P81" s="97">
        <f t="shared" si="8"/>
        <v>0</v>
      </c>
      <c r="Q81" s="101" t="str">
        <f t="shared" si="9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">
      <c r="A82" s="42">
        <v>8580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7"/>
        <v>0</v>
      </c>
      <c r="P82" s="97">
        <f t="shared" si="8"/>
        <v>0</v>
      </c>
      <c r="Q82" s="101" t="str">
        <f t="shared" si="9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0"/>
        <v xml:space="preserve"> </v>
      </c>
    </row>
    <row r="83" spans="1:22" x14ac:dyDescent="0.2">
      <c r="A83" s="42">
        <v>13636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>K83+H83+E83</f>
        <v>0</v>
      </c>
      <c r="P83" s="97">
        <f>O83/(J83+G83+D83+1)</f>
        <v>0</v>
      </c>
      <c r="Q83" s="101" t="str">
        <f t="shared" si="9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">
      <c r="A84" s="42">
        <v>18287</v>
      </c>
      <c r="B84" s="77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7"/>
        <v>0</v>
      </c>
      <c r="P84" s="97">
        <f t="shared" si="8"/>
        <v>0</v>
      </c>
      <c r="Q84" s="101" t="str">
        <f t="shared" si="9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0"/>
        <v xml:space="preserve"> </v>
      </c>
    </row>
    <row r="85" spans="1:22" x14ac:dyDescent="0.2">
      <c r="A85" s="42">
        <v>20566</v>
      </c>
      <c r="B85" s="77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7"/>
        <v>0</v>
      </c>
      <c r="P85" s="97">
        <f t="shared" si="8"/>
        <v>0</v>
      </c>
      <c r="Q85" s="101" t="str">
        <f t="shared" si="9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0"/>
        <v xml:space="preserve"> </v>
      </c>
    </row>
    <row r="86" spans="1:22" x14ac:dyDescent="0.2">
      <c r="A86" s="42">
        <v>25541</v>
      </c>
      <c r="B86" s="77" t="s">
        <v>17</v>
      </c>
      <c r="C86" s="10">
        <v>0</v>
      </c>
      <c r="D86" s="5">
        <v>44</v>
      </c>
      <c r="E86" s="5">
        <v>-44</v>
      </c>
      <c r="F86" s="10">
        <v>0</v>
      </c>
      <c r="G86" s="5">
        <v>113</v>
      </c>
      <c r="H86" s="5">
        <v>-113</v>
      </c>
      <c r="I86" s="10">
        <v>0</v>
      </c>
      <c r="J86" s="5">
        <v>32</v>
      </c>
      <c r="K86" s="5">
        <v>-32</v>
      </c>
      <c r="L86" s="10">
        <v>0</v>
      </c>
      <c r="M86" s="5">
        <v>2</v>
      </c>
      <c r="N86" s="5">
        <v>-2</v>
      </c>
      <c r="O86" s="10">
        <f>K86+H86+E86</f>
        <v>-189</v>
      </c>
      <c r="P86" s="97">
        <f>O86/(J86+G86+D86+1)</f>
        <v>-0.99473684210526314</v>
      </c>
      <c r="Q86" s="101" t="str">
        <f t="shared" si="9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 t="str">
        <f t="shared" si="10"/>
        <v xml:space="preserve"> </v>
      </c>
    </row>
    <row r="87" spans="1:22" ht="13.5" thickBot="1" x14ac:dyDescent="0.25">
      <c r="A87" s="42">
        <v>28729</v>
      </c>
      <c r="B87" s="77" t="s">
        <v>17</v>
      </c>
      <c r="C87" s="10">
        <v>30000</v>
      </c>
      <c r="D87" s="5">
        <v>28687</v>
      </c>
      <c r="E87" s="5">
        <v>1313</v>
      </c>
      <c r="F87" s="10">
        <v>50000</v>
      </c>
      <c r="G87" s="5">
        <v>27219</v>
      </c>
      <c r="H87" s="5">
        <v>22781</v>
      </c>
      <c r="I87" s="10">
        <v>50000</v>
      </c>
      <c r="J87" s="5">
        <v>26126</v>
      </c>
      <c r="K87" s="5">
        <v>23874</v>
      </c>
      <c r="L87" s="10">
        <v>25000</v>
      </c>
      <c r="M87" s="5">
        <v>24918</v>
      </c>
      <c r="N87" s="5">
        <v>82</v>
      </c>
      <c r="O87" s="10">
        <f>K87+H87+E87</f>
        <v>47968</v>
      </c>
      <c r="P87" s="97">
        <f>O87/(J87+G87+D87+1)</f>
        <v>0.58474028744529638</v>
      </c>
      <c r="Q87" s="120" t="str">
        <f t="shared" si="9"/>
        <v xml:space="preserve"> </v>
      </c>
      <c r="R87" s="121" t="str">
        <f>IF($C$4="High Inventory",IF(AND(O87&gt;=Summary!$C$106,P87&gt;=Summary!$C$107),"X"," "),IF(AND(O87&lt;=-Summary!$C$106,P87&lt;=-Summary!$C$107),"X"," "))</f>
        <v>X</v>
      </c>
      <c r="S87" s="23" t="str">
        <f>IF(AND(L87-I87&gt;=Summary!$C$110,N87-K87&gt;Summary!$C$110,N87&gt;0),"X"," ")</f>
        <v xml:space="preserve"> </v>
      </c>
      <c r="T87" s="127" t="str">
        <f>IF($C$4="High Inventory",IF(AND($O87&gt;=Summary!$C$106,$P87&gt;=0%),"X"," "),IF(AND($O87&lt;=-Summary!$C$106,$P87&lt;=0%),"X"," "))</f>
        <v>X</v>
      </c>
      <c r="U87" s="23" t="str">
        <f>IF($C$4="High Inventory",IF(AND($O87&gt;=0,$P87&gt;=Summary!$C$107),"X"," "),IF(AND($O87&lt;=0,$P87&lt;=-Summary!$C$107),"X"," "))</f>
        <v>X</v>
      </c>
      <c r="V87" t="str">
        <f t="shared" si="10"/>
        <v xml:space="preserve"> </v>
      </c>
    </row>
    <row r="88" spans="1:22" s="3" customFormat="1" x14ac:dyDescent="0.2">
      <c r="A88" s="2" t="s">
        <v>18</v>
      </c>
      <c r="B88" s="2"/>
      <c r="E88" s="3">
        <f>SUM(E10:E87)</f>
        <v>93529</v>
      </c>
      <c r="H88" s="3">
        <f>SUM(H10:H87)</f>
        <v>119353</v>
      </c>
      <c r="K88" s="3">
        <f>SUM(K10:K87)</f>
        <v>267092</v>
      </c>
      <c r="M88" s="3">
        <f>SUM(M10:M87)</f>
        <v>1688658</v>
      </c>
      <c r="N88" s="3">
        <f>SUM(N10:N87)</f>
        <v>-89408</v>
      </c>
      <c r="Q88" s="2">
        <f>COUNTIF(Q13:Q87,"X")</f>
        <v>0</v>
      </c>
      <c r="R88" s="2">
        <f>COUNTIF(R13:R87,"X")</f>
        <v>9</v>
      </c>
      <c r="S88" s="2">
        <f>COUNTIF(S13:S87,"X")</f>
        <v>0</v>
      </c>
      <c r="T88" s="2">
        <f>COUNTIF(T13:T87,"X")</f>
        <v>14</v>
      </c>
      <c r="U88" s="2">
        <f>COUNTIF(U13:U87,"X")</f>
        <v>14</v>
      </c>
      <c r="V88">
        <f>SUM(V$58:V$87)+SUM(V$31:V$53)+SUM(V$10:V$26)</f>
        <v>0</v>
      </c>
    </row>
    <row r="89" spans="1:22" x14ac:dyDescent="0.2">
      <c r="M89" s="115" t="s">
        <v>57</v>
      </c>
      <c r="N89" s="116">
        <f>N88/M88</f>
        <v>-5.294618566933032E-2</v>
      </c>
    </row>
  </sheetData>
  <mergeCells count="1">
    <mergeCell ref="R6:S6"/>
  </mergeCells>
  <pageMargins left="0.25" right="0.25" top="0.67" bottom="0.88" header="0.48" footer="0.5"/>
  <pageSetup scale="6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9"/>
  <sheetViews>
    <sheetView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7.85546875" defaultRowHeight="12.75" x14ac:dyDescent="0.2"/>
  <cols>
    <col min="1" max="1" width="9.42578125" style="43" customWidth="1"/>
    <col min="2" max="2" width="10" style="43" customWidth="1"/>
    <col min="3" max="30" width="10" customWidth="1"/>
    <col min="31" max="252" width="9.140625" customWidth="1"/>
  </cols>
  <sheetData>
    <row r="1" spans="1:22" ht="18" x14ac:dyDescent="0.25">
      <c r="A1" s="80" t="s">
        <v>45</v>
      </c>
    </row>
    <row r="2" spans="1:22" ht="20.25" customHeight="1" x14ac:dyDescent="0.2">
      <c r="A2" s="113" t="s">
        <v>24</v>
      </c>
    </row>
    <row r="3" spans="1:22" ht="15.75" x14ac:dyDescent="0.25">
      <c r="A3" s="81" t="s">
        <v>25</v>
      </c>
      <c r="C3" s="20">
        <f>L8</f>
        <v>36674</v>
      </c>
      <c r="D3" s="19"/>
    </row>
    <row r="4" spans="1:22" ht="15.75" x14ac:dyDescent="0.25">
      <c r="A4" s="81" t="s">
        <v>26</v>
      </c>
      <c r="C4" s="4" t="s">
        <v>27</v>
      </c>
      <c r="E4" s="4" t="s">
        <v>62</v>
      </c>
    </row>
    <row r="5" spans="1:22" ht="16.5" thickBot="1" x14ac:dyDescent="0.3">
      <c r="A5" s="81" t="s">
        <v>28</v>
      </c>
      <c r="C5" s="4" t="s">
        <v>29</v>
      </c>
    </row>
    <row r="6" spans="1:22" ht="21.75" customHeight="1" thickBot="1" x14ac:dyDescent="0.25">
      <c r="A6" s="117"/>
      <c r="R6" s="221" t="s">
        <v>55</v>
      </c>
      <c r="S6" s="222"/>
    </row>
    <row r="7" spans="1:22" s="85" customFormat="1" ht="54" customHeight="1" thickBot="1" x14ac:dyDescent="0.25">
      <c r="A7" s="82" t="s">
        <v>21</v>
      </c>
      <c r="B7" s="83" t="s">
        <v>54</v>
      </c>
      <c r="C7" s="82" t="s">
        <v>30</v>
      </c>
      <c r="D7" s="84" t="s">
        <v>31</v>
      </c>
      <c r="E7" s="83" t="s">
        <v>32</v>
      </c>
      <c r="F7" s="82" t="s">
        <v>30</v>
      </c>
      <c r="G7" s="84" t="s">
        <v>31</v>
      </c>
      <c r="H7" s="83" t="s">
        <v>32</v>
      </c>
      <c r="I7" s="82" t="s">
        <v>30</v>
      </c>
      <c r="J7" s="84" t="s">
        <v>31</v>
      </c>
      <c r="K7" s="83" t="s">
        <v>32</v>
      </c>
      <c r="L7" s="82" t="s">
        <v>30</v>
      </c>
      <c r="M7" s="84" t="s">
        <v>31</v>
      </c>
      <c r="N7" s="83" t="s">
        <v>32</v>
      </c>
      <c r="O7" s="82" t="s">
        <v>33</v>
      </c>
      <c r="P7" s="83" t="s">
        <v>34</v>
      </c>
      <c r="Q7" s="122" t="s">
        <v>36</v>
      </c>
      <c r="R7" s="82" t="s">
        <v>50</v>
      </c>
      <c r="S7" s="109" t="s">
        <v>70</v>
      </c>
      <c r="T7" s="98" t="s">
        <v>51</v>
      </c>
      <c r="U7" s="102" t="s">
        <v>52</v>
      </c>
    </row>
    <row r="8" spans="1:22" s="76" customFormat="1" ht="15.95" customHeight="1" thickBot="1" x14ac:dyDescent="0.25">
      <c r="A8" s="78"/>
      <c r="B8" s="79"/>
      <c r="C8" s="73">
        <v>36671</v>
      </c>
      <c r="D8" s="74"/>
      <c r="E8" s="75" t="str">
        <f>TEXT(WEEKDAY(C8),"dddd")</f>
        <v>Thursday</v>
      </c>
      <c r="F8" s="73">
        <v>36672</v>
      </c>
      <c r="G8" s="74"/>
      <c r="H8" s="75" t="str">
        <f>TEXT(WEEKDAY(F8),"dddd")</f>
        <v>Friday</v>
      </c>
      <c r="I8" s="73">
        <v>36673</v>
      </c>
      <c r="J8" s="74"/>
      <c r="K8" s="75" t="str">
        <f>TEXT(WEEKDAY(I8),"dddd")</f>
        <v>Saturday</v>
      </c>
      <c r="L8" s="73">
        <v>36674</v>
      </c>
      <c r="M8" s="74"/>
      <c r="N8" s="75" t="str">
        <f>TEXT(WEEKDAY(L8),"dddd")</f>
        <v>Sunday</v>
      </c>
      <c r="O8" s="71"/>
      <c r="P8" s="95"/>
      <c r="Q8" s="128"/>
      <c r="R8" s="129"/>
      <c r="S8" s="156">
        <f>Summary!$C$110</f>
        <v>5000</v>
      </c>
      <c r="T8" s="128"/>
      <c r="U8" s="130"/>
    </row>
    <row r="9" spans="1:22" ht="51.75" hidden="1" thickBot="1" x14ac:dyDescent="0.25">
      <c r="A9" s="42" t="s">
        <v>6</v>
      </c>
      <c r="B9" s="77" t="s">
        <v>7</v>
      </c>
      <c r="C9" s="14" t="s">
        <v>37</v>
      </c>
      <c r="D9" s="7" t="s">
        <v>38</v>
      </c>
      <c r="E9" s="7" t="s">
        <v>39</v>
      </c>
      <c r="F9" s="14" t="s">
        <v>37</v>
      </c>
      <c r="G9" s="7" t="s">
        <v>38</v>
      </c>
      <c r="H9" s="7" t="s">
        <v>39</v>
      </c>
      <c r="I9" s="14" t="s">
        <v>37</v>
      </c>
      <c r="J9" s="7" t="s">
        <v>38</v>
      </c>
      <c r="K9" s="7" t="s">
        <v>39</v>
      </c>
      <c r="L9" s="14" t="s">
        <v>37</v>
      </c>
      <c r="M9" s="7" t="s">
        <v>38</v>
      </c>
      <c r="N9" s="7" t="s">
        <v>39</v>
      </c>
      <c r="O9" s="10" t="e">
        <f t="shared" ref="O9:O53" si="0">K9+H9+E9</f>
        <v>#VALUE!</v>
      </c>
      <c r="P9" s="5"/>
      <c r="Q9" s="146"/>
      <c r="R9" s="138"/>
    </row>
    <row r="10" spans="1:22" x14ac:dyDescent="0.2">
      <c r="A10" s="42">
        <v>1117</v>
      </c>
      <c r="B10" s="77" t="s">
        <v>8</v>
      </c>
      <c r="C10" s="10">
        <v>229</v>
      </c>
      <c r="D10" s="5">
        <v>234</v>
      </c>
      <c r="E10" s="5">
        <v>-5</v>
      </c>
      <c r="F10" s="10">
        <v>229</v>
      </c>
      <c r="G10" s="5">
        <v>204</v>
      </c>
      <c r="H10" s="5">
        <v>25</v>
      </c>
      <c r="I10" s="10">
        <v>0</v>
      </c>
      <c r="J10" s="5">
        <v>192</v>
      </c>
      <c r="K10" s="5">
        <v>-192</v>
      </c>
      <c r="L10" s="10">
        <v>0</v>
      </c>
      <c r="M10" s="5">
        <v>201</v>
      </c>
      <c r="N10" s="5">
        <v>-201</v>
      </c>
      <c r="O10" s="10">
        <f t="shared" si="0"/>
        <v>-172</v>
      </c>
      <c r="P10" s="97">
        <f t="shared" ref="P10:P53" si="1">O10/(J10+G10+D10+1)</f>
        <v>-0.27258320126782887</v>
      </c>
      <c r="Q10" s="134" t="str">
        <f t="shared" ref="Q10:Q73" si="2">" "</f>
        <v xml:space="preserve"> </v>
      </c>
      <c r="R10" s="135" t="str">
        <f>IF($C$4="High Inventory",IF(AND(O10&gt;=Summary!$C$106,P10&gt;=Summary!$C$107),"X"," "),IF(AND(O10&lt;=-Summary!$C$106,P10&lt;=-Summary!$C$107),"X"," "))</f>
        <v xml:space="preserve"> </v>
      </c>
      <c r="S10" s="136" t="str">
        <f>IF(AND(L10-I10&gt;=Summary!$C$110,N10-K10&gt;Summary!$C$110,N10&gt;0),"X"," ")</f>
        <v xml:space="preserve"> </v>
      </c>
      <c r="T10" s="141" t="str">
        <f>IF($C$4="High Inventory",IF(AND($O10&gt;=Summary!$C$106,$P10&gt;=0%),"X"," "),IF(AND($O10&lt;=-Summary!$C$106,$P10&lt;=0%),"X"," "))</f>
        <v xml:space="preserve"> </v>
      </c>
      <c r="U10" s="136" t="str">
        <f>IF($C$4="High Inventory",IF(AND($O10&gt;=0,$P10&gt;=Summary!$C$107),"X"," "),IF(AND($O10&lt;=0,$P10&lt;=-Summary!$C$107),"X"," "))</f>
        <v xml:space="preserve"> </v>
      </c>
      <c r="V10" t="str">
        <f t="shared" ref="V10:V41" si="3">IF(S10 = "X",L10-I10," ")</f>
        <v xml:space="preserve"> </v>
      </c>
    </row>
    <row r="11" spans="1:22" x14ac:dyDescent="0.2">
      <c r="A11" s="42">
        <v>1126</v>
      </c>
      <c r="B11" s="77" t="s">
        <v>8</v>
      </c>
      <c r="C11" s="10">
        <v>0</v>
      </c>
      <c r="D11" s="5">
        <v>73</v>
      </c>
      <c r="E11" s="5">
        <v>-73</v>
      </c>
      <c r="F11" s="10">
        <v>0</v>
      </c>
      <c r="G11" s="5">
        <v>65</v>
      </c>
      <c r="H11" s="5">
        <v>-65</v>
      </c>
      <c r="I11" s="10">
        <v>0</v>
      </c>
      <c r="J11" s="5">
        <v>61</v>
      </c>
      <c r="K11" s="5">
        <v>-61</v>
      </c>
      <c r="L11" s="10">
        <v>0</v>
      </c>
      <c r="M11" s="5">
        <v>63</v>
      </c>
      <c r="N11" s="5">
        <v>-63</v>
      </c>
      <c r="O11" s="10">
        <f t="shared" si="0"/>
        <v>-199</v>
      </c>
      <c r="P11" s="97">
        <f t="shared" si="1"/>
        <v>-0.995</v>
      </c>
      <c r="Q11" s="101" t="str">
        <f t="shared" si="2"/>
        <v xml:space="preserve"> </v>
      </c>
      <c r="R11" s="91" t="str">
        <f>IF($C$4="High Inventory",IF(AND(O11&gt;=Summary!$C$106,P11&gt;=Summary!$C$107),"X"," "),IF(AND(O11&lt;=-Summary!$C$106,P11&lt;=-Summary!$C$107),"X"," "))</f>
        <v xml:space="preserve"> </v>
      </c>
      <c r="S11" s="21" t="str">
        <f>IF(AND(L11-I11&gt;=Summary!$C$110,N11-K11&gt;Summary!$C$110,N11&gt;0),"X"," ")</f>
        <v xml:space="preserve"> </v>
      </c>
      <c r="T11" s="17" t="str">
        <f>IF($C$4="High Inventory",IF(AND($O11&gt;=Summary!$C$106,$P11&gt;=0%),"X"," "),IF(AND($O11&lt;=-Summary!$C$106,$P11&lt;=0%),"X"," "))</f>
        <v xml:space="preserve"> </v>
      </c>
      <c r="U11" s="21" t="str">
        <f>IF($C$4="High Inventory",IF(AND($O11&gt;=0,$P11&gt;=Summary!$C$107),"X"," "),IF(AND($O11&lt;=0,$P11&lt;=-Summary!$C$107),"X"," "))</f>
        <v xml:space="preserve"> </v>
      </c>
      <c r="V11" t="str">
        <f t="shared" si="3"/>
        <v xml:space="preserve"> </v>
      </c>
    </row>
    <row r="12" spans="1:22" x14ac:dyDescent="0.2">
      <c r="A12" s="42">
        <v>1157</v>
      </c>
      <c r="B12" s="77" t="s">
        <v>8</v>
      </c>
      <c r="C12" s="10">
        <v>100</v>
      </c>
      <c r="D12" s="5">
        <v>114</v>
      </c>
      <c r="E12" s="5">
        <v>-14</v>
      </c>
      <c r="F12" s="10">
        <v>100</v>
      </c>
      <c r="G12" s="5">
        <v>101</v>
      </c>
      <c r="H12" s="5">
        <v>-1</v>
      </c>
      <c r="I12" s="10">
        <v>100</v>
      </c>
      <c r="J12" s="5">
        <v>96</v>
      </c>
      <c r="K12" s="5">
        <v>4</v>
      </c>
      <c r="L12" s="10">
        <v>100</v>
      </c>
      <c r="M12" s="5">
        <v>100</v>
      </c>
      <c r="N12" s="5">
        <v>0</v>
      </c>
      <c r="O12" s="10">
        <f t="shared" si="0"/>
        <v>-11</v>
      </c>
      <c r="P12" s="97">
        <f t="shared" si="1"/>
        <v>-3.5256410256410256E-2</v>
      </c>
      <c r="Q12" s="101" t="str">
        <f t="shared" si="2"/>
        <v xml:space="preserve"> </v>
      </c>
      <c r="R12" s="91" t="str">
        <f>IF($C$4="High Inventory",IF(AND(O12&gt;=Summary!$C$106,P12&gt;=Summary!$C$107),"X"," "),IF(AND(O12&lt;=-Summary!$C$106,P12&lt;=-Summary!$C$107),"X"," "))</f>
        <v xml:space="preserve"> </v>
      </c>
      <c r="S12" s="21" t="str">
        <f>IF(AND(L12-I12&gt;=Summary!$C$110,N12-K12&gt;Summary!$C$110,N12&gt;0),"X"," ")</f>
        <v xml:space="preserve"> </v>
      </c>
      <c r="T12" s="17" t="str">
        <f>IF($C$4="High Inventory",IF(AND($O12&gt;=Summary!$C$106,$P12&gt;=0%),"X"," "),IF(AND($O12&lt;=-Summary!$C$106,$P12&lt;=0%),"X"," "))</f>
        <v xml:space="preserve"> </v>
      </c>
      <c r="U12" s="21" t="str">
        <f>IF($C$4="High Inventory",IF(AND($O12&gt;=0,$P12&gt;=Summary!$C$107),"X"," "),IF(AND($O12&lt;=0,$P12&lt;=-Summary!$C$107),"X"," "))</f>
        <v xml:space="preserve"> </v>
      </c>
      <c r="V12" t="str">
        <f t="shared" si="3"/>
        <v xml:space="preserve"> </v>
      </c>
    </row>
    <row r="13" spans="1:22" x14ac:dyDescent="0.2">
      <c r="A13" s="42">
        <v>1780</v>
      </c>
      <c r="B13" s="77" t="s">
        <v>8</v>
      </c>
      <c r="C13" s="10">
        <v>970</v>
      </c>
      <c r="D13" s="5">
        <v>1164</v>
      </c>
      <c r="E13" s="5">
        <v>-194</v>
      </c>
      <c r="F13" s="10">
        <v>970</v>
      </c>
      <c r="G13" s="5">
        <v>1025</v>
      </c>
      <c r="H13" s="5">
        <v>-55</v>
      </c>
      <c r="I13" s="10">
        <v>990</v>
      </c>
      <c r="J13" s="5">
        <v>973</v>
      </c>
      <c r="K13" s="5">
        <v>17</v>
      </c>
      <c r="L13" s="10">
        <v>990</v>
      </c>
      <c r="M13" s="5">
        <v>1014</v>
      </c>
      <c r="N13" s="5">
        <v>-24</v>
      </c>
      <c r="O13" s="10">
        <f t="shared" si="0"/>
        <v>-232</v>
      </c>
      <c r="P13" s="97">
        <f t="shared" si="1"/>
        <v>-7.3348087258931396E-2</v>
      </c>
      <c r="Q13" s="101" t="str">
        <f t="shared" si="2"/>
        <v xml:space="preserve"> </v>
      </c>
      <c r="R13" s="91" t="str">
        <f>IF($C$4="High Inventory",IF(AND(O13&gt;=Summary!$C$106,P13&gt;=Summary!$C$107),"X"," "),IF(AND(O13&lt;=-Summary!$C$106,P13&lt;=-Summary!$C$107),"X"," "))</f>
        <v xml:space="preserve"> </v>
      </c>
      <c r="S13" s="21" t="str">
        <f>IF(AND(L13-I13&gt;=Summary!$C$110,N13-K13&gt;Summary!$C$110,N13&gt;0),"X"," ")</f>
        <v xml:space="preserve"> </v>
      </c>
      <c r="T13" s="17" t="str">
        <f>IF($C$4="High Inventory",IF(AND($O13&gt;=Summary!$C$106,$P13&gt;=0%),"X"," "),IF(AND($O13&lt;=-Summary!$C$106,$P13&lt;=0%),"X"," "))</f>
        <v xml:space="preserve"> </v>
      </c>
      <c r="U13" s="21" t="str">
        <f>IF($C$4="High Inventory",IF(AND($O13&gt;=0,$P13&gt;=Summary!$C$107),"X"," "),IF(AND($O13&lt;=0,$P13&lt;=-Summary!$C$107),"X"," "))</f>
        <v xml:space="preserve"> </v>
      </c>
      <c r="V13" t="str">
        <f t="shared" si="3"/>
        <v xml:space="preserve"> </v>
      </c>
    </row>
    <row r="14" spans="1:22" x14ac:dyDescent="0.2">
      <c r="A14" s="42">
        <v>2280</v>
      </c>
      <c r="B14" s="77" t="s">
        <v>8</v>
      </c>
      <c r="C14" s="10">
        <v>827</v>
      </c>
      <c r="D14" s="5">
        <v>726</v>
      </c>
      <c r="E14" s="5">
        <v>101</v>
      </c>
      <c r="F14" s="10">
        <v>837</v>
      </c>
      <c r="G14" s="5">
        <v>641</v>
      </c>
      <c r="H14" s="5">
        <v>196</v>
      </c>
      <c r="I14" s="10">
        <v>618</v>
      </c>
      <c r="J14" s="5">
        <v>609</v>
      </c>
      <c r="K14" s="5">
        <v>9</v>
      </c>
      <c r="L14" s="10">
        <v>620</v>
      </c>
      <c r="M14" s="5">
        <v>633</v>
      </c>
      <c r="N14" s="5">
        <v>-13</v>
      </c>
      <c r="O14" s="10">
        <f t="shared" si="0"/>
        <v>306</v>
      </c>
      <c r="P14" s="97">
        <f t="shared" si="1"/>
        <v>0.15477996965098634</v>
      </c>
      <c r="Q14" s="101" t="str">
        <f t="shared" si="2"/>
        <v xml:space="preserve"> </v>
      </c>
      <c r="R14" s="91" t="str">
        <f>IF($C$4="High Inventory",IF(AND(O14&gt;=Summary!$C$106,P14&gt;=Summary!$C$107),"X"," "),IF(AND(O14&lt;=-Summary!$C$106,P14&lt;=-Summary!$C$107),"X"," "))</f>
        <v xml:space="preserve"> </v>
      </c>
      <c r="S14" s="21" t="str">
        <f>IF(AND(L14-I14&gt;=Summary!$C$110,N14-K14&gt;Summary!$C$110,N14&gt;0),"X"," ")</f>
        <v xml:space="preserve"> </v>
      </c>
      <c r="T14" s="17" t="str">
        <f>IF($C$4="High Inventory",IF(AND($O14&gt;=Summary!$C$106,$P14&gt;=0%),"X"," "),IF(AND($O14&lt;=-Summary!$C$106,$P14&lt;=0%),"X"," "))</f>
        <v xml:space="preserve"> </v>
      </c>
      <c r="U14" s="21" t="str">
        <f>IF($C$4="High Inventory",IF(AND($O14&gt;=0,$P14&gt;=Summary!$C$107),"X"," "),IF(AND($O14&lt;=0,$P14&lt;=-Summary!$C$107),"X"," "))</f>
        <v>X</v>
      </c>
      <c r="V14" t="str">
        <f t="shared" si="3"/>
        <v xml:space="preserve"> </v>
      </c>
    </row>
    <row r="15" spans="1:22" x14ac:dyDescent="0.2">
      <c r="A15" s="42">
        <v>2584</v>
      </c>
      <c r="B15" s="77" t="s">
        <v>8</v>
      </c>
      <c r="C15" s="10">
        <v>4000</v>
      </c>
      <c r="D15" s="5">
        <v>3271</v>
      </c>
      <c r="E15" s="5">
        <v>729</v>
      </c>
      <c r="F15" s="10">
        <v>4000</v>
      </c>
      <c r="G15" s="5">
        <v>2888</v>
      </c>
      <c r="H15" s="5">
        <v>1112</v>
      </c>
      <c r="I15" s="10">
        <v>2795</v>
      </c>
      <c r="J15" s="5">
        <v>2740</v>
      </c>
      <c r="K15" s="5">
        <v>55</v>
      </c>
      <c r="L15" s="10">
        <v>2795</v>
      </c>
      <c r="M15" s="5">
        <v>2856</v>
      </c>
      <c r="N15" s="5">
        <v>-61</v>
      </c>
      <c r="O15" s="10">
        <f t="shared" si="0"/>
        <v>1896</v>
      </c>
      <c r="P15" s="97">
        <f t="shared" si="1"/>
        <v>0.21303370786516854</v>
      </c>
      <c r="Q15" s="101" t="str">
        <f t="shared" si="2"/>
        <v xml:space="preserve"> </v>
      </c>
      <c r="R15" s="91" t="str">
        <f>IF($C$4="High Inventory",IF(AND(O15&gt;=Summary!$C$106,P15&gt;=Summary!$C$107),"X"," "),IF(AND(O15&lt;=-Summary!$C$106,P15&lt;=-Summary!$C$107),"X"," "))</f>
        <v xml:space="preserve"> </v>
      </c>
      <c r="S15" s="21" t="str">
        <f>IF(AND(L15-I15&gt;=Summary!$C$110,N15-K15&gt;Summary!$C$110,N15&gt;0),"X"," ")</f>
        <v xml:space="preserve"> </v>
      </c>
      <c r="T15" s="17" t="str">
        <f>IF($C$4="High Inventory",IF(AND($O15&gt;=Summary!$C$106,$P15&gt;=0%),"X"," "),IF(AND($O15&lt;=-Summary!$C$106,$P15&lt;=0%),"X"," "))</f>
        <v xml:space="preserve"> </v>
      </c>
      <c r="U15" s="21" t="str">
        <f>IF($C$4="High Inventory",IF(AND($O15&gt;=0,$P15&gt;=Summary!$C$107),"X"," "),IF(AND($O15&lt;=0,$P15&lt;=-Summary!$C$107),"X"," "))</f>
        <v>X</v>
      </c>
      <c r="V15" t="str">
        <f t="shared" si="3"/>
        <v xml:space="preserve"> </v>
      </c>
    </row>
    <row r="16" spans="1:22" x14ac:dyDescent="0.2">
      <c r="A16" s="42">
        <v>2771</v>
      </c>
      <c r="B16" s="77" t="s">
        <v>8</v>
      </c>
      <c r="C16" s="10">
        <v>6000</v>
      </c>
      <c r="D16" s="5">
        <v>6465</v>
      </c>
      <c r="E16" s="5">
        <v>-465</v>
      </c>
      <c r="F16" s="10">
        <v>6000</v>
      </c>
      <c r="G16" s="5">
        <v>5703</v>
      </c>
      <c r="H16" s="5">
        <v>297</v>
      </c>
      <c r="I16" s="10">
        <v>5197</v>
      </c>
      <c r="J16" s="5">
        <v>5406</v>
      </c>
      <c r="K16" s="5">
        <v>-209</v>
      </c>
      <c r="L16" s="10">
        <v>5424</v>
      </c>
      <c r="M16" s="5">
        <v>5642</v>
      </c>
      <c r="N16" s="5">
        <v>-218</v>
      </c>
      <c r="O16" s="10">
        <f t="shared" si="0"/>
        <v>-377</v>
      </c>
      <c r="P16" s="97">
        <f t="shared" si="1"/>
        <v>-2.1450924608819345E-2</v>
      </c>
      <c r="Q16" s="101" t="str">
        <f t="shared" si="2"/>
        <v xml:space="preserve"> </v>
      </c>
      <c r="R16" s="91" t="str">
        <f>IF($C$4="High Inventory",IF(AND(O16&gt;=Summary!$C$106,P16&gt;=Summary!$C$107),"X"," "),IF(AND(O16&lt;=-Summary!$C$106,P16&lt;=-Summary!$C$107),"X"," "))</f>
        <v xml:space="preserve"> </v>
      </c>
      <c r="S16" s="21" t="str">
        <f>IF(AND(L16-I16&gt;=Summary!$C$110,N16-K16&gt;Summary!$C$110,N16&gt;0),"X"," ")</f>
        <v xml:space="preserve"> </v>
      </c>
      <c r="T16" s="17" t="str">
        <f>IF($C$4="High Inventory",IF(AND($O16&gt;=Summary!$C$106,$P16&gt;=0%),"X"," "),IF(AND($O16&lt;=-Summary!$C$106,$P16&lt;=0%),"X"," "))</f>
        <v xml:space="preserve"> </v>
      </c>
      <c r="U16" s="21" t="str">
        <f>IF($C$4="High Inventory",IF(AND($O16&gt;=0,$P16&gt;=Summary!$C$107),"X"," "),IF(AND($O16&lt;=0,$P16&lt;=-Summary!$C$107),"X"," "))</f>
        <v xml:space="preserve"> </v>
      </c>
      <c r="V16" t="str">
        <f t="shared" si="3"/>
        <v xml:space="preserve"> </v>
      </c>
    </row>
    <row r="17" spans="1:22" x14ac:dyDescent="0.2">
      <c r="A17" s="42">
        <v>2832</v>
      </c>
      <c r="B17" s="77" t="s">
        <v>8</v>
      </c>
      <c r="C17" s="10">
        <v>929</v>
      </c>
      <c r="D17" s="5">
        <v>956</v>
      </c>
      <c r="E17" s="5">
        <v>-27</v>
      </c>
      <c r="F17" s="10">
        <v>929</v>
      </c>
      <c r="G17" s="5">
        <v>844</v>
      </c>
      <c r="H17" s="5">
        <v>85</v>
      </c>
      <c r="I17" s="10">
        <v>779</v>
      </c>
      <c r="J17" s="5">
        <v>800</v>
      </c>
      <c r="K17" s="5">
        <v>-21</v>
      </c>
      <c r="L17" s="10">
        <v>829</v>
      </c>
      <c r="M17" s="5">
        <v>834</v>
      </c>
      <c r="N17" s="5">
        <v>-5</v>
      </c>
      <c r="O17" s="10">
        <f t="shared" si="0"/>
        <v>37</v>
      </c>
      <c r="P17" s="97">
        <f t="shared" si="1"/>
        <v>1.4225297962322183E-2</v>
      </c>
      <c r="Q17" s="101" t="str">
        <f t="shared" si="2"/>
        <v xml:space="preserve"> </v>
      </c>
      <c r="R17" s="91" t="str">
        <f>IF($C$4="High Inventory",IF(AND(O17&gt;=Summary!$C$106,P17&gt;=Summary!$C$107),"X"," "),IF(AND(O17&lt;=-Summary!$C$106,P17&lt;=-Summary!$C$107),"X"," "))</f>
        <v xml:space="preserve"> </v>
      </c>
      <c r="S17" s="21" t="str">
        <f>IF(AND(L17-I17&gt;=Summary!$C$110,N17-K17&gt;Summary!$C$110,N17&gt;0),"X"," ")</f>
        <v xml:space="preserve"> </v>
      </c>
      <c r="T17" s="17" t="str">
        <f>IF($C$4="High Inventory",IF(AND($O17&gt;=Summary!$C$106,$P17&gt;=0%),"X"," "),IF(AND($O17&lt;=-Summary!$C$106,$P17&lt;=0%),"X"," "))</f>
        <v xml:space="preserve"> </v>
      </c>
      <c r="U17" s="21" t="str">
        <f>IF($C$4="High Inventory",IF(AND($O17&gt;=0,$P17&gt;=Summary!$C$107),"X"," "),IF(AND($O17&lt;=0,$P17&lt;=-Summary!$C$107),"X"," "))</f>
        <v xml:space="preserve"> </v>
      </c>
      <c r="V17" t="str">
        <f t="shared" si="3"/>
        <v xml:space="preserve"> </v>
      </c>
    </row>
    <row r="18" spans="1:22" x14ac:dyDescent="0.2">
      <c r="A18" s="42">
        <v>2892</v>
      </c>
      <c r="B18" s="77" t="s">
        <v>8</v>
      </c>
      <c r="C18" s="10">
        <v>4237</v>
      </c>
      <c r="D18" s="5">
        <v>4603</v>
      </c>
      <c r="E18" s="5">
        <v>-366</v>
      </c>
      <c r="F18" s="10">
        <v>4237</v>
      </c>
      <c r="G18" s="5">
        <v>4062</v>
      </c>
      <c r="H18" s="5">
        <v>175</v>
      </c>
      <c r="I18" s="10">
        <v>3862</v>
      </c>
      <c r="J18" s="5">
        <v>3854</v>
      </c>
      <c r="K18" s="5">
        <v>8</v>
      </c>
      <c r="L18" s="10">
        <v>3862</v>
      </c>
      <c r="M18" s="5">
        <v>4018</v>
      </c>
      <c r="N18" s="5">
        <v>-156</v>
      </c>
      <c r="O18" s="10">
        <f t="shared" si="0"/>
        <v>-183</v>
      </c>
      <c r="P18" s="97">
        <f t="shared" si="1"/>
        <v>-1.4616613418530352E-2</v>
      </c>
      <c r="Q18" s="101" t="str">
        <f t="shared" si="2"/>
        <v xml:space="preserve"> </v>
      </c>
      <c r="R18" s="91" t="str">
        <f>IF($C$4="High Inventory",IF(AND(O18&gt;=Summary!$C$106,P18&gt;=Summary!$C$107),"X"," "),IF(AND(O18&lt;=-Summary!$C$106,P18&lt;=-Summary!$C$107),"X"," "))</f>
        <v xml:space="preserve"> </v>
      </c>
      <c r="S18" s="21" t="str">
        <f>IF(AND(L18-I18&gt;=Summary!$C$110,N18-K18&gt;Summary!$C$110,N18&gt;0),"X"," ")</f>
        <v xml:space="preserve"> </v>
      </c>
      <c r="T18" s="17" t="str">
        <f>IF($C$4="High Inventory",IF(AND($O18&gt;=Summary!$C$106,$P18&gt;=0%),"X"," "),IF(AND($O18&lt;=-Summary!$C$106,$P18&lt;=0%),"X"," "))</f>
        <v xml:space="preserve"> </v>
      </c>
      <c r="U18" s="21" t="str">
        <f>IF($C$4="High Inventory",IF(AND($O18&gt;=0,$P18&gt;=Summary!$C$107),"X"," "),IF(AND($O18&lt;=0,$P18&lt;=-Summary!$C$107),"X"," "))</f>
        <v xml:space="preserve"> </v>
      </c>
      <c r="V18" t="str">
        <f t="shared" si="3"/>
        <v xml:space="preserve"> </v>
      </c>
    </row>
    <row r="19" spans="1:22" x14ac:dyDescent="0.2">
      <c r="A19" s="42">
        <v>2939</v>
      </c>
      <c r="B19" s="77" t="s">
        <v>8</v>
      </c>
      <c r="C19" s="10">
        <v>0</v>
      </c>
      <c r="D19" s="5">
        <v>1154</v>
      </c>
      <c r="E19" s="5">
        <v>-1154</v>
      </c>
      <c r="F19" s="10">
        <v>660</v>
      </c>
      <c r="G19" s="5">
        <v>1018</v>
      </c>
      <c r="H19" s="5">
        <v>-358</v>
      </c>
      <c r="I19" s="10">
        <v>1260</v>
      </c>
      <c r="J19" s="5">
        <v>966</v>
      </c>
      <c r="K19" s="5">
        <v>294</v>
      </c>
      <c r="L19" s="10">
        <v>1260</v>
      </c>
      <c r="M19" s="5">
        <v>1007</v>
      </c>
      <c r="N19" s="5">
        <v>253</v>
      </c>
      <c r="O19" s="10">
        <f t="shared" si="0"/>
        <v>-1218</v>
      </c>
      <c r="P19" s="97">
        <f t="shared" si="1"/>
        <v>-0.38802166294998408</v>
      </c>
      <c r="Q19" s="101" t="str">
        <f t="shared" si="2"/>
        <v xml:space="preserve"> </v>
      </c>
      <c r="R19" s="91" t="str">
        <f>IF($C$4="High Inventory",IF(AND(O19&gt;=Summary!$C$106,P19&gt;=Summary!$C$107),"X"," "),IF(AND(O19&lt;=-Summary!$C$106,P19&lt;=-Summary!$C$107),"X"," "))</f>
        <v xml:space="preserve"> </v>
      </c>
      <c r="S19" s="21" t="str">
        <f>IF(AND(L19-I19&gt;=Summary!$C$110,N19-K19&gt;Summary!$C$110,N19&gt;0),"X"," ")</f>
        <v xml:space="preserve"> </v>
      </c>
      <c r="T19" s="17" t="str">
        <f>IF($C$4="High Inventory",IF(AND($O19&gt;=Summary!$C$106,$P19&gt;=0%),"X"," "),IF(AND($O19&lt;=-Summary!$C$106,$P19&lt;=0%),"X"," "))</f>
        <v xml:space="preserve"> </v>
      </c>
      <c r="U19" s="21" t="str">
        <f>IF($C$4="High Inventory",IF(AND($O19&gt;=0,$P19&gt;=Summary!$C$107),"X"," "),IF(AND($O19&lt;=0,$P19&lt;=-Summary!$C$107),"X"," "))</f>
        <v xml:space="preserve"> </v>
      </c>
      <c r="V19" t="str">
        <f t="shared" si="3"/>
        <v xml:space="preserve"> </v>
      </c>
    </row>
    <row r="20" spans="1:22" x14ac:dyDescent="0.2">
      <c r="A20" s="42">
        <v>3152</v>
      </c>
      <c r="B20" s="77" t="s">
        <v>8</v>
      </c>
      <c r="C20" s="10">
        <v>0</v>
      </c>
      <c r="D20" s="5">
        <v>6234</v>
      </c>
      <c r="E20" s="5">
        <v>-6234</v>
      </c>
      <c r="F20" s="10">
        <v>2444</v>
      </c>
      <c r="G20" s="5">
        <v>5484</v>
      </c>
      <c r="H20" s="5">
        <v>-3040</v>
      </c>
      <c r="I20" s="10">
        <v>5295</v>
      </c>
      <c r="J20" s="5">
        <v>5192</v>
      </c>
      <c r="K20" s="5">
        <v>103</v>
      </c>
      <c r="L20" s="10">
        <v>5295</v>
      </c>
      <c r="M20" s="5">
        <v>5425</v>
      </c>
      <c r="N20" s="5">
        <v>-130</v>
      </c>
      <c r="O20" s="10">
        <f t="shared" si="0"/>
        <v>-9171</v>
      </c>
      <c r="P20" s="97">
        <f t="shared" si="1"/>
        <v>-0.54230973922299097</v>
      </c>
      <c r="Q20" s="101" t="str">
        <f t="shared" si="2"/>
        <v xml:space="preserve"> </v>
      </c>
      <c r="R20" s="91" t="str">
        <f>IF($C$4="High Inventory",IF(AND(O20&gt;=Summary!$C$106,P20&gt;=Summary!$C$107),"X"," "),IF(AND(O20&lt;=-Summary!$C$106,P20&lt;=-Summary!$C$107),"X"," "))</f>
        <v xml:space="preserve"> </v>
      </c>
      <c r="S20" s="21" t="str">
        <f>IF(AND(L20-I20&gt;=Summary!$C$110,N20-K20&gt;Summary!$C$110,N20&gt;0),"X"," ")</f>
        <v xml:space="preserve"> </v>
      </c>
      <c r="T20" s="17" t="str">
        <f>IF($C$4="High Inventory",IF(AND($O20&gt;=Summary!$C$106,$P20&gt;=0%),"X"," "),IF(AND($O20&lt;=-Summary!$C$106,$P20&lt;=0%),"X"," "))</f>
        <v xml:space="preserve"> </v>
      </c>
      <c r="U20" s="21" t="str">
        <f>IF($C$4="High Inventory",IF(AND($O20&gt;=0,$P20&gt;=Summary!$C$107),"X"," "),IF(AND($O20&lt;=0,$P20&lt;=-Summary!$C$107),"X"," "))</f>
        <v xml:space="preserve"> </v>
      </c>
      <c r="V20" t="str">
        <f t="shared" si="3"/>
        <v xml:space="preserve"> </v>
      </c>
    </row>
    <row r="21" spans="1:22" x14ac:dyDescent="0.2">
      <c r="A21" s="42">
        <v>4303</v>
      </c>
      <c r="B21" s="77" t="s">
        <v>8</v>
      </c>
      <c r="C21" s="10">
        <v>5682</v>
      </c>
      <c r="D21" s="5">
        <v>2575</v>
      </c>
      <c r="E21" s="5">
        <v>3107</v>
      </c>
      <c r="F21" s="10">
        <v>2039</v>
      </c>
      <c r="G21" s="5">
        <v>2271</v>
      </c>
      <c r="H21" s="5">
        <v>-232</v>
      </c>
      <c r="I21" s="10">
        <v>2808</v>
      </c>
      <c r="J21" s="5">
        <v>2154</v>
      </c>
      <c r="K21" s="5">
        <v>654</v>
      </c>
      <c r="L21" s="10">
        <v>2314</v>
      </c>
      <c r="M21" s="5">
        <v>2246</v>
      </c>
      <c r="N21" s="5">
        <v>68</v>
      </c>
      <c r="O21" s="10">
        <f t="shared" si="0"/>
        <v>3529</v>
      </c>
      <c r="P21" s="97">
        <f t="shared" si="1"/>
        <v>0.50407084702185401</v>
      </c>
      <c r="Q21" s="101" t="str">
        <f t="shared" si="2"/>
        <v xml:space="preserve"> </v>
      </c>
      <c r="R21" s="91" t="str">
        <f>IF($C$4="High Inventory",IF(AND(O21&gt;=Summary!$C$106,P21&gt;=Summary!$C$107),"X"," "),IF(AND(O21&lt;=-Summary!$C$106,P21&lt;=-Summary!$C$107),"X"," "))</f>
        <v xml:space="preserve"> </v>
      </c>
      <c r="S21" s="21" t="str">
        <f>IF(AND(L21-I21&gt;=Summary!$C$110,N21-K21&gt;Summary!$C$110,N21&gt;0),"X"," ")</f>
        <v xml:space="preserve"> </v>
      </c>
      <c r="T21" s="17" t="str">
        <f>IF($C$4="High Inventory",IF(AND($O21&gt;=Summary!$C$106,$P21&gt;=0%),"X"," "),IF(AND($O21&lt;=-Summary!$C$106,$P21&lt;=0%),"X"," "))</f>
        <v xml:space="preserve"> </v>
      </c>
      <c r="U21" s="21" t="str">
        <f>IF($C$4="High Inventory",IF(AND($O21&gt;=0,$P21&gt;=Summary!$C$107),"X"," "),IF(AND($O21&lt;=0,$P21&lt;=-Summary!$C$107),"X"," "))</f>
        <v>X</v>
      </c>
      <c r="V21" t="str">
        <f t="shared" si="3"/>
        <v xml:space="preserve"> </v>
      </c>
    </row>
    <row r="22" spans="1:22" x14ac:dyDescent="0.2">
      <c r="A22" s="42">
        <v>6500</v>
      </c>
      <c r="B22" s="77" t="s">
        <v>8</v>
      </c>
      <c r="C22" s="10">
        <v>545985</v>
      </c>
      <c r="D22" s="5">
        <v>525791</v>
      </c>
      <c r="E22" s="5">
        <v>20194</v>
      </c>
      <c r="F22" s="10">
        <v>479976</v>
      </c>
      <c r="G22" s="5">
        <v>462223</v>
      </c>
      <c r="H22" s="5">
        <v>17753</v>
      </c>
      <c r="I22" s="10">
        <v>445625</v>
      </c>
      <c r="J22" s="5">
        <v>438422</v>
      </c>
      <c r="K22" s="5">
        <v>7203</v>
      </c>
      <c r="L22" s="10">
        <v>468337</v>
      </c>
      <c r="M22" s="5">
        <v>457263</v>
      </c>
      <c r="N22" s="5">
        <v>11074</v>
      </c>
      <c r="O22" s="10">
        <f t="shared" si="0"/>
        <v>45150</v>
      </c>
      <c r="P22" s="97">
        <f t="shared" si="1"/>
        <v>3.1652291689012554E-2</v>
      </c>
      <c r="Q22" s="101" t="str">
        <f t="shared" si="2"/>
        <v xml:space="preserve"> </v>
      </c>
      <c r="R22" s="91" t="str">
        <f>IF($C$4="High Inventory",IF(AND(O22&gt;=Summary!$C$106,P22&gt;=Summary!$C$107),"X"," "),IF(AND(O22&lt;=-Summary!$C$106,P22&lt;=-Summary!$C$107),"X"," "))</f>
        <v xml:space="preserve"> </v>
      </c>
      <c r="S22" s="21" t="str">
        <f>IF(AND(L22-I22&gt;=Summary!$C$110,N22-K22&gt;Summary!$C$110,N22&gt;0),"X"," ")</f>
        <v xml:space="preserve"> </v>
      </c>
      <c r="T22" s="17" t="str">
        <f>IF($C$4="High Inventory",IF(AND($O22&gt;=Summary!$C$106,$P22&gt;=0%),"X"," "),IF(AND($O22&lt;=-Summary!$C$106,$P22&lt;=0%),"X"," "))</f>
        <v>X</v>
      </c>
      <c r="U22" s="21" t="str">
        <f>IF($C$4="High Inventory",IF(AND($O22&gt;=0,$P22&gt;=Summary!$C$107),"X"," "),IF(AND($O22&lt;=0,$P22&lt;=-Summary!$C$107),"X"," "))</f>
        <v xml:space="preserve"> </v>
      </c>
      <c r="V22" t="str">
        <f t="shared" si="3"/>
        <v xml:space="preserve"> </v>
      </c>
    </row>
    <row r="23" spans="1:22" x14ac:dyDescent="0.2">
      <c r="A23" s="42">
        <v>10656</v>
      </c>
      <c r="B23" s="77" t="s">
        <v>8</v>
      </c>
      <c r="C23" s="10">
        <v>78</v>
      </c>
      <c r="D23" s="5">
        <v>212</v>
      </c>
      <c r="E23" s="5">
        <v>-134</v>
      </c>
      <c r="F23" s="10">
        <v>78</v>
      </c>
      <c r="G23" s="5">
        <v>187</v>
      </c>
      <c r="H23" s="5">
        <v>-109</v>
      </c>
      <c r="I23" s="10">
        <v>0</v>
      </c>
      <c r="J23" s="5">
        <v>177</v>
      </c>
      <c r="K23" s="5">
        <v>-177</v>
      </c>
      <c r="L23" s="10">
        <v>0</v>
      </c>
      <c r="M23" s="5">
        <v>185</v>
      </c>
      <c r="N23" s="5">
        <v>-185</v>
      </c>
      <c r="O23" s="10">
        <f t="shared" si="0"/>
        <v>-420</v>
      </c>
      <c r="P23" s="97">
        <f t="shared" si="1"/>
        <v>-0.72790294627383012</v>
      </c>
      <c r="Q23" s="101" t="str">
        <f t="shared" si="2"/>
        <v xml:space="preserve"> </v>
      </c>
      <c r="R23" s="91" t="str">
        <f>IF($C$4="High Inventory",IF(AND(O23&gt;=Summary!$C$106,P23&gt;=Summary!$C$107),"X"," "),IF(AND(O23&lt;=-Summary!$C$106,P23&lt;=-Summary!$C$107),"X"," "))</f>
        <v xml:space="preserve"> </v>
      </c>
      <c r="S23" s="21" t="str">
        <f>IF(AND(L23-I23&gt;=Summary!$C$110,N23-K23&gt;Summary!$C$110,N23&gt;0),"X"," ")</f>
        <v xml:space="preserve"> </v>
      </c>
      <c r="T23" s="17" t="str">
        <f>IF($C$4="High Inventory",IF(AND($O23&gt;=Summary!$C$106,$P23&gt;=0%),"X"," "),IF(AND($O23&lt;=-Summary!$C$106,$P23&lt;=0%),"X"," "))</f>
        <v xml:space="preserve"> </v>
      </c>
      <c r="U23" s="21" t="str">
        <f>IF($C$4="High Inventory",IF(AND($O23&gt;=0,$P23&gt;=Summary!$C$107),"X"," "),IF(AND($O23&lt;=0,$P23&lt;=-Summary!$C$107),"X"," "))</f>
        <v xml:space="preserve"> </v>
      </c>
      <c r="V23" t="str">
        <f t="shared" si="3"/>
        <v xml:space="preserve"> </v>
      </c>
    </row>
    <row r="24" spans="1:22" x14ac:dyDescent="0.2">
      <c r="A24" s="42">
        <v>12296</v>
      </c>
      <c r="B24" s="77" t="s">
        <v>8</v>
      </c>
      <c r="C24" s="10">
        <v>2300</v>
      </c>
      <c r="D24" s="5">
        <v>2693</v>
      </c>
      <c r="E24" s="5">
        <v>-393</v>
      </c>
      <c r="F24" s="10">
        <v>2300</v>
      </c>
      <c r="G24" s="5">
        <v>2372</v>
      </c>
      <c r="H24" s="5">
        <v>-72</v>
      </c>
      <c r="I24" s="10">
        <v>2290</v>
      </c>
      <c r="J24" s="5">
        <v>2250</v>
      </c>
      <c r="K24" s="5">
        <v>40</v>
      </c>
      <c r="L24" s="10">
        <v>2435</v>
      </c>
      <c r="M24" s="5">
        <v>2346</v>
      </c>
      <c r="N24" s="5">
        <v>89</v>
      </c>
      <c r="O24" s="10">
        <f t="shared" si="0"/>
        <v>-425</v>
      </c>
      <c r="P24" s="97">
        <f t="shared" si="1"/>
        <v>-5.8091853471842536E-2</v>
      </c>
      <c r="Q24" s="101" t="str">
        <f t="shared" si="2"/>
        <v xml:space="preserve"> </v>
      </c>
      <c r="R24" s="91" t="str">
        <f>IF($C$4="High Inventory",IF(AND(O24&gt;=Summary!$C$106,P24&gt;=Summary!$C$107),"X"," "),IF(AND(O24&lt;=-Summary!$C$106,P24&lt;=-Summary!$C$107),"X"," "))</f>
        <v xml:space="preserve"> </v>
      </c>
      <c r="S24" s="21" t="str">
        <f>IF(AND(L24-I24&gt;=Summary!$C$110,N24-K24&gt;Summary!$C$110,N24&gt;0),"X"," ")</f>
        <v xml:space="preserve"> </v>
      </c>
      <c r="T24" s="17" t="str">
        <f>IF($C$4="High Inventory",IF(AND($O24&gt;=Summary!$C$106,$P24&gt;=0%),"X"," "),IF(AND($O24&lt;=-Summary!$C$106,$P24&lt;=0%),"X"," "))</f>
        <v xml:space="preserve"> </v>
      </c>
      <c r="U24" s="21" t="str">
        <f>IF($C$4="High Inventory",IF(AND($O24&gt;=0,$P24&gt;=Summary!$C$107),"X"," "),IF(AND($O24&lt;=0,$P24&lt;=-Summary!$C$107),"X"," "))</f>
        <v xml:space="preserve"> </v>
      </c>
      <c r="V24" t="str">
        <f t="shared" si="3"/>
        <v xml:space="preserve"> </v>
      </c>
    </row>
    <row r="25" spans="1:22" x14ac:dyDescent="0.2">
      <c r="A25" s="42">
        <v>16786</v>
      </c>
      <c r="B25" s="77" t="s">
        <v>8</v>
      </c>
      <c r="C25" s="10">
        <v>2975</v>
      </c>
      <c r="D25" s="5">
        <v>3896</v>
      </c>
      <c r="E25" s="5">
        <v>-921</v>
      </c>
      <c r="F25" s="10">
        <v>2975</v>
      </c>
      <c r="G25" s="5">
        <v>3429</v>
      </c>
      <c r="H25" s="5">
        <v>-454</v>
      </c>
      <c r="I25" s="10">
        <v>2975</v>
      </c>
      <c r="J25" s="5">
        <v>3253</v>
      </c>
      <c r="K25" s="5">
        <v>-278</v>
      </c>
      <c r="L25" s="10">
        <v>2975</v>
      </c>
      <c r="M25" s="5">
        <v>3392</v>
      </c>
      <c r="N25" s="5">
        <v>-417</v>
      </c>
      <c r="O25" s="10">
        <f t="shared" si="0"/>
        <v>-1653</v>
      </c>
      <c r="P25" s="97">
        <f t="shared" si="1"/>
        <v>-0.15625295396540315</v>
      </c>
      <c r="Q25" s="101" t="str">
        <f t="shared" si="2"/>
        <v xml:space="preserve"> </v>
      </c>
      <c r="R25" s="91" t="str">
        <f>IF($C$4="High Inventory",IF(AND(O25&gt;=Summary!$C$106,P25&gt;=Summary!$C$107),"X"," "),IF(AND(O25&lt;=-Summary!$C$106,P25&lt;=-Summary!$C$107),"X"," "))</f>
        <v xml:space="preserve"> </v>
      </c>
      <c r="S25" s="21" t="str">
        <f>IF(AND(L25-I25&gt;=Summary!$C$110,N25-K25&gt;Summary!$C$110,N25&gt;0),"X"," ")</f>
        <v xml:space="preserve"> </v>
      </c>
      <c r="T25" s="17" t="str">
        <f>IF($C$4="High Inventory",IF(AND($O25&gt;=Summary!$C$106,$P25&gt;=0%),"X"," "),IF(AND($O25&lt;=-Summary!$C$106,$P25&lt;=0%),"X"," "))</f>
        <v xml:space="preserve"> </v>
      </c>
      <c r="U25" s="21" t="str">
        <f>IF($C$4="High Inventory",IF(AND($O25&gt;=0,$P25&gt;=Summary!$C$107),"X"," "),IF(AND($O25&lt;=0,$P25&lt;=-Summary!$C$107),"X"," "))</f>
        <v xml:space="preserve"> </v>
      </c>
      <c r="V25" t="str">
        <f t="shared" si="3"/>
        <v xml:space="preserve"> </v>
      </c>
    </row>
    <row r="26" spans="1:22" x14ac:dyDescent="0.2">
      <c r="A26" s="42">
        <v>17791</v>
      </c>
      <c r="B26" s="77" t="s">
        <v>8</v>
      </c>
      <c r="C26" s="10">
        <v>0</v>
      </c>
      <c r="D26" s="5">
        <v>258</v>
      </c>
      <c r="E26" s="5">
        <v>-258</v>
      </c>
      <c r="F26" s="10">
        <v>0</v>
      </c>
      <c r="G26" s="5">
        <v>228</v>
      </c>
      <c r="H26" s="5">
        <v>-228</v>
      </c>
      <c r="I26" s="10">
        <v>220</v>
      </c>
      <c r="J26" s="5">
        <v>216</v>
      </c>
      <c r="K26" s="5">
        <v>4</v>
      </c>
      <c r="L26" s="10">
        <v>220</v>
      </c>
      <c r="M26" s="5">
        <v>226</v>
      </c>
      <c r="N26" s="5">
        <v>-6</v>
      </c>
      <c r="O26" s="10">
        <f t="shared" si="0"/>
        <v>-482</v>
      </c>
      <c r="P26" s="97">
        <f t="shared" si="1"/>
        <v>-0.68563300142247507</v>
      </c>
      <c r="Q26" s="101" t="str">
        <f t="shared" si="2"/>
        <v xml:space="preserve"> </v>
      </c>
      <c r="R26" s="91" t="str">
        <f>IF($C$4="High Inventory",IF(AND(O26&gt;=Summary!$C$106,P26&gt;=Summary!$C$107),"X"," "),IF(AND(O26&lt;=-Summary!$C$106,P26&lt;=-Summary!$C$107),"X"," "))</f>
        <v xml:space="preserve"> </v>
      </c>
      <c r="S26" s="21" t="str">
        <f>IF(AND(L26-I26&gt;=Summary!$C$110,N26-K26&gt;Summary!$C$110,N26&gt;0),"X"," ")</f>
        <v xml:space="preserve"> </v>
      </c>
      <c r="T26" s="17" t="str">
        <f>IF($C$4="High Inventory",IF(AND($O26&gt;=Summary!$C$106,$P26&gt;=0%),"X"," "),IF(AND($O26&lt;=-Summary!$C$106,$P26&lt;=0%),"X"," "))</f>
        <v xml:space="preserve"> </v>
      </c>
      <c r="U26" s="21" t="str">
        <f>IF($C$4="High Inventory",IF(AND($O26&gt;=0,$P26&gt;=Summary!$C$107),"X"," "),IF(AND($O26&lt;=0,$P26&lt;=-Summary!$C$107),"X"," "))</f>
        <v xml:space="preserve"> </v>
      </c>
      <c r="V26" t="str">
        <f t="shared" si="3"/>
        <v xml:space="preserve"> </v>
      </c>
    </row>
    <row r="27" spans="1:22" hidden="1" x14ac:dyDescent="0.2">
      <c r="A27" s="42"/>
      <c r="B27" s="77"/>
      <c r="C27" s="10"/>
      <c r="D27" s="5"/>
      <c r="E27" s="5"/>
      <c r="F27" s="10"/>
      <c r="G27" s="5"/>
      <c r="H27" s="5"/>
      <c r="I27" s="10"/>
      <c r="J27" s="5"/>
      <c r="K27" s="5"/>
      <c r="L27" s="10"/>
      <c r="M27" s="5"/>
      <c r="N27" s="5"/>
      <c r="O27" s="10">
        <f>K27+H27+E27</f>
        <v>0</v>
      </c>
      <c r="P27" s="97">
        <f>O27/(J27+G27+D27+1)</f>
        <v>0</v>
      </c>
      <c r="Q27" s="101" t="str">
        <f t="shared" si="2"/>
        <v xml:space="preserve"> </v>
      </c>
      <c r="R27" s="91" t="str">
        <f>IF($C$4="High Inventory",IF(AND(O27&gt;=Summary!$C$106,P27&gt;=Summary!$C$107),"X"," "),IF(AND(O27&lt;=-Summary!$C$106,P27&lt;=-Summary!$C$107),"X"," "))</f>
        <v xml:space="preserve"> </v>
      </c>
      <c r="S27" s="21" t="str">
        <f>IF(AND(L27-I27&gt;=Summary!$C$110,N27-K27&gt;Summary!$C$110,N27&gt;0),"X"," ")</f>
        <v xml:space="preserve"> </v>
      </c>
      <c r="T27" s="17" t="str">
        <f>IF($C$4="High Inventory",IF(AND($O27&gt;=Summary!$C$106,$P27&gt;=0%),"X"," "),IF(AND($O27&lt;=-Summary!$C$106,$P27&lt;=0%),"X"," "))</f>
        <v xml:space="preserve"> </v>
      </c>
      <c r="U27" s="21" t="str">
        <f>IF($C$4="High Inventory",IF(AND($O27&gt;=0,$P27&gt;=Summary!$C$107),"X"," "),IF(AND($O27&lt;=0,$P27&lt;=-Summary!$C$107),"X"," "))</f>
        <v xml:space="preserve"> </v>
      </c>
      <c r="V27" t="str">
        <f t="shared" si="3"/>
        <v xml:space="preserve"> </v>
      </c>
    </row>
    <row r="28" spans="1:22" hidden="1" x14ac:dyDescent="0.2">
      <c r="A28" s="42"/>
      <c r="B28" s="77"/>
      <c r="C28" s="15"/>
      <c r="D28" s="5"/>
      <c r="E28" s="5"/>
      <c r="F28" s="15"/>
      <c r="G28" s="5"/>
      <c r="H28" s="5"/>
      <c r="I28" s="15"/>
      <c r="J28" s="5"/>
      <c r="K28" s="5"/>
      <c r="L28" s="15"/>
      <c r="M28" s="5"/>
      <c r="N28" s="5"/>
      <c r="O28" s="10">
        <f>K28+H28+E28</f>
        <v>0</v>
      </c>
      <c r="P28" s="97">
        <f>O28/(J28+G28+D28+1)</f>
        <v>0</v>
      </c>
      <c r="Q28" s="101" t="str">
        <f t="shared" si="2"/>
        <v xml:space="preserve"> </v>
      </c>
      <c r="R28" s="91" t="str">
        <f>IF($C$4="High Inventory",IF(AND(O28&gt;=Summary!$C$106,P28&gt;=Summary!$C$107),"X"," "),IF(AND(O28&lt;=-Summary!$C$106,P28&lt;=-Summary!$C$107),"X"," "))</f>
        <v xml:space="preserve"> </v>
      </c>
      <c r="S28" s="21" t="str">
        <f>IF(AND(L28-I28&gt;=Summary!$C$110,N28-K28&gt;Summary!$C$110,N28&gt;0),"X"," ")</f>
        <v xml:space="preserve"> </v>
      </c>
      <c r="T28" s="17" t="str">
        <f>IF($C$4="High Inventory",IF(AND($O28&gt;=Summary!$C$106,$P28&gt;=0%),"X"," "),IF(AND($O28&lt;=-Summary!$C$106,$P28&lt;=0%),"X"," "))</f>
        <v xml:space="preserve"> </v>
      </c>
      <c r="U28" s="21" t="str">
        <f>IF($C$4="High Inventory",IF(AND($O28&gt;=0,$P28&gt;=Summary!$C$107),"X"," "),IF(AND($O28&lt;=0,$P28&lt;=-Summary!$C$107),"X"," "))</f>
        <v xml:space="preserve"> </v>
      </c>
      <c r="V28" t="str">
        <f t="shared" si="3"/>
        <v xml:space="preserve"> </v>
      </c>
    </row>
    <row r="29" spans="1:22" hidden="1" x14ac:dyDescent="0.2">
      <c r="A29" s="42"/>
      <c r="B29" s="77"/>
      <c r="C29" s="15">
        <v>36671</v>
      </c>
      <c r="D29" s="5"/>
      <c r="E29" s="5"/>
      <c r="F29" s="15">
        <v>36672</v>
      </c>
      <c r="G29" s="5"/>
      <c r="H29" s="5"/>
      <c r="I29" s="15">
        <v>36673</v>
      </c>
      <c r="J29" s="5"/>
      <c r="K29" s="5"/>
      <c r="L29" s="15">
        <v>36674</v>
      </c>
      <c r="M29" s="5"/>
      <c r="N29" s="5"/>
      <c r="O29" s="10">
        <f>K29+H29+E29</f>
        <v>0</v>
      </c>
      <c r="P29" s="97">
        <f>O29/(J29+G29+D29+1)</f>
        <v>0</v>
      </c>
      <c r="Q29" s="101" t="str">
        <f t="shared" si="2"/>
        <v xml:space="preserve"> </v>
      </c>
      <c r="R29" s="91" t="str">
        <f>IF($C$4="High Inventory",IF(AND(O29&gt;=Summary!$C$106,P29&gt;=Summary!$C$107),"X"," "),IF(AND(O29&lt;=-Summary!$C$106,P29&lt;=-Summary!$C$107),"X"," "))</f>
        <v xml:space="preserve"> </v>
      </c>
      <c r="S29" s="21" t="str">
        <f>IF(AND(L29-I29&gt;=Summary!$C$110,N29-K29&gt;Summary!$C$110,N29&gt;0),"X"," ")</f>
        <v xml:space="preserve"> </v>
      </c>
      <c r="T29" s="17" t="str">
        <f>IF($C$4="High Inventory",IF(AND($O29&gt;=Summary!$C$106,$P29&gt;=0%),"X"," "),IF(AND($O29&lt;=-Summary!$C$106,$P29&lt;=0%),"X"," "))</f>
        <v xml:space="preserve"> </v>
      </c>
      <c r="U29" s="21" t="str">
        <f>IF($C$4="High Inventory",IF(AND($O29&gt;=0,$P29&gt;=Summary!$C$107),"X"," "),IF(AND($O29&lt;=0,$P29&lt;=-Summary!$C$107),"X"," "))</f>
        <v xml:space="preserve"> </v>
      </c>
      <c r="V29" t="str">
        <f t="shared" si="3"/>
        <v xml:space="preserve"> </v>
      </c>
    </row>
    <row r="30" spans="1:22" hidden="1" x14ac:dyDescent="0.2">
      <c r="A30" s="42" t="s">
        <v>13</v>
      </c>
      <c r="B30" s="77" t="s">
        <v>14</v>
      </c>
      <c r="C30" s="10" t="s">
        <v>37</v>
      </c>
      <c r="D30" s="5" t="s">
        <v>40</v>
      </c>
      <c r="E30" s="5" t="s">
        <v>41</v>
      </c>
      <c r="F30" s="10" t="s">
        <v>37</v>
      </c>
      <c r="G30" s="5" t="s">
        <v>40</v>
      </c>
      <c r="H30" s="5" t="s">
        <v>41</v>
      </c>
      <c r="I30" s="10" t="s">
        <v>37</v>
      </c>
      <c r="J30" s="5" t="s">
        <v>40</v>
      </c>
      <c r="K30" s="5" t="s">
        <v>41</v>
      </c>
      <c r="L30" s="10" t="s">
        <v>37</v>
      </c>
      <c r="M30" s="5" t="s">
        <v>40</v>
      </c>
      <c r="N30" s="5" t="s">
        <v>41</v>
      </c>
      <c r="O30" s="10" t="e">
        <f>K30+H30+E30</f>
        <v>#VALUE!</v>
      </c>
      <c r="P30" s="97" t="e">
        <f>O30/(J30+G30+D30+1)</f>
        <v>#VALUE!</v>
      </c>
      <c r="Q30" s="101" t="str">
        <f t="shared" si="2"/>
        <v xml:space="preserve"> </v>
      </c>
      <c r="R30" s="91" t="e">
        <f>IF($C$4="High Inventory",IF(AND(O30&gt;=Summary!$C$106,P30&gt;=Summary!$C$107),"X"," "),IF(AND(O30&lt;=-Summary!$C$106,P30&lt;=-Summary!$C$107),"X"," "))</f>
        <v>#VALUE!</v>
      </c>
      <c r="S30" s="21" t="e">
        <f>IF(AND(L30-I30&gt;=Summary!$C$110,N30-K30&gt;Summary!$C$110,N30&gt;0),"X"," ")</f>
        <v>#VALUE!</v>
      </c>
      <c r="T30" s="17" t="e">
        <f>IF($C$4="High Inventory",IF(AND($O30&gt;=Summary!$C$106,$P30&gt;=0%),"X"," "),IF(AND($O30&lt;=-Summary!$C$106,$P30&lt;=0%),"X"," "))</f>
        <v>#VALUE!</v>
      </c>
      <c r="U30" s="21" t="e">
        <f>IF($C$4="High Inventory",IF(AND($O30&gt;=0,$P30&gt;=Summary!$C$107),"X"," "),IF(AND($O30&lt;=0,$P30&lt;=-Summary!$C$107),"X"," "))</f>
        <v>#VALUE!</v>
      </c>
      <c r="V30" t="e">
        <f t="shared" si="3"/>
        <v>#VALUE!</v>
      </c>
    </row>
    <row r="31" spans="1:22" x14ac:dyDescent="0.2">
      <c r="A31" s="42">
        <v>1117</v>
      </c>
      <c r="B31" s="77" t="s">
        <v>15</v>
      </c>
      <c r="C31" s="10">
        <v>77076</v>
      </c>
      <c r="D31" s="5">
        <v>69654</v>
      </c>
      <c r="E31" s="5">
        <v>7422</v>
      </c>
      <c r="F31" s="10">
        <v>100286</v>
      </c>
      <c r="G31" s="5">
        <v>67261</v>
      </c>
      <c r="H31" s="5">
        <v>33025</v>
      </c>
      <c r="I31" s="10">
        <v>60847</v>
      </c>
      <c r="J31" s="5">
        <v>59246</v>
      </c>
      <c r="K31" s="5">
        <v>1601</v>
      </c>
      <c r="L31" s="10">
        <v>57030</v>
      </c>
      <c r="M31" s="5">
        <v>59011</v>
      </c>
      <c r="N31" s="5">
        <v>-1981</v>
      </c>
      <c r="O31" s="10">
        <f t="shared" si="0"/>
        <v>42048</v>
      </c>
      <c r="P31" s="97">
        <f t="shared" si="1"/>
        <v>0.21435344256277974</v>
      </c>
      <c r="Q31" s="101" t="str">
        <f t="shared" si="2"/>
        <v xml:space="preserve"> </v>
      </c>
      <c r="R31" s="91" t="str">
        <f>IF($C$4="High Inventory",IF(AND(O31&gt;=Summary!$C$106,P31&gt;=Summary!$C$107),"X"," "),IF(AND(O31&lt;=-Summary!$C$106,P31&lt;=-Summary!$C$107),"X"," "))</f>
        <v>X</v>
      </c>
      <c r="S31" s="21" t="str">
        <f>IF(AND(L31-I31&gt;=Summary!$C$110,N31-K31&gt;Summary!$C$110,N31&gt;0),"X"," ")</f>
        <v xml:space="preserve"> </v>
      </c>
      <c r="T31" s="17" t="str">
        <f>IF($C$4="High Inventory",IF(AND($O31&gt;=Summary!$C$106,$P31&gt;=0%),"X"," "),IF(AND($O31&lt;=-Summary!$C$106,$P31&lt;=0%),"X"," "))</f>
        <v>X</v>
      </c>
      <c r="U31" s="21" t="str">
        <f>IF($C$4="High Inventory",IF(AND($O31&gt;=0,$P31&gt;=Summary!$C$107),"X"," "),IF(AND($O31&lt;=0,$P31&lt;=-Summary!$C$107),"X"," "))</f>
        <v>X</v>
      </c>
      <c r="V31" t="str">
        <f t="shared" si="3"/>
        <v xml:space="preserve"> </v>
      </c>
    </row>
    <row r="32" spans="1:22" x14ac:dyDescent="0.2">
      <c r="A32" s="42">
        <v>1126</v>
      </c>
      <c r="B32" s="77" t="s">
        <v>15</v>
      </c>
      <c r="C32" s="10">
        <v>34918</v>
      </c>
      <c r="D32" s="5">
        <v>28844</v>
      </c>
      <c r="E32" s="5">
        <v>6074</v>
      </c>
      <c r="F32" s="10">
        <v>34918</v>
      </c>
      <c r="G32" s="5">
        <v>29033</v>
      </c>
      <c r="H32" s="5">
        <v>5885</v>
      </c>
      <c r="I32" s="10">
        <v>30418</v>
      </c>
      <c r="J32" s="5">
        <v>27695</v>
      </c>
      <c r="K32" s="5">
        <v>2723</v>
      </c>
      <c r="L32" s="10">
        <v>30418</v>
      </c>
      <c r="M32" s="5">
        <v>27240</v>
      </c>
      <c r="N32" s="5">
        <v>3178</v>
      </c>
      <c r="O32" s="10">
        <f t="shared" si="0"/>
        <v>14682</v>
      </c>
      <c r="P32" s="97">
        <f t="shared" si="1"/>
        <v>0.1715728091804658</v>
      </c>
      <c r="Q32" s="101" t="str">
        <f t="shared" si="2"/>
        <v xml:space="preserve"> </v>
      </c>
      <c r="R32" s="91" t="str">
        <f>IF($C$4="High Inventory",IF(AND(O32&gt;=Summary!$C$106,P32&gt;=Summary!$C$107),"X"," "),IF(AND(O32&lt;=-Summary!$C$106,P32&lt;=-Summary!$C$107),"X"," "))</f>
        <v>X</v>
      </c>
      <c r="S32" s="21" t="str">
        <f>IF(AND(L32-I32&gt;=Summary!$C$110,N32-K32&gt;Summary!$C$110,N32&gt;0),"X"," ")</f>
        <v xml:space="preserve"> </v>
      </c>
      <c r="T32" s="17" t="str">
        <f>IF($C$4="High Inventory",IF(AND($O32&gt;=Summary!$C$106,$P32&gt;=0%),"X"," "),IF(AND($O32&lt;=-Summary!$C$106,$P32&lt;=0%),"X"," "))</f>
        <v>X</v>
      </c>
      <c r="U32" s="21" t="str">
        <f>IF($C$4="High Inventory",IF(AND($O32&gt;=0,$P32&gt;=Summary!$C$107),"X"," "),IF(AND($O32&lt;=0,$P32&lt;=-Summary!$C$107),"X"," "))</f>
        <v>X</v>
      </c>
      <c r="V32" t="str">
        <f t="shared" si="3"/>
        <v xml:space="preserve"> </v>
      </c>
    </row>
    <row r="33" spans="1:22" x14ac:dyDescent="0.2">
      <c r="A33" s="42">
        <v>1157</v>
      </c>
      <c r="B33" s="77" t="s">
        <v>15</v>
      </c>
      <c r="C33" s="10">
        <v>121402</v>
      </c>
      <c r="D33" s="5">
        <v>62894</v>
      </c>
      <c r="E33" s="5">
        <v>58508</v>
      </c>
      <c r="F33" s="10">
        <v>109304</v>
      </c>
      <c r="G33" s="5">
        <v>63142</v>
      </c>
      <c r="H33" s="5">
        <v>46162</v>
      </c>
      <c r="I33" s="10">
        <v>53446</v>
      </c>
      <c r="J33" s="5">
        <v>54985</v>
      </c>
      <c r="K33" s="5">
        <v>-1539</v>
      </c>
      <c r="L33" s="10">
        <v>50464</v>
      </c>
      <c r="M33" s="5">
        <v>50138</v>
      </c>
      <c r="N33" s="5">
        <v>326</v>
      </c>
      <c r="O33" s="10">
        <f t="shared" si="0"/>
        <v>103131</v>
      </c>
      <c r="P33" s="97">
        <f t="shared" si="1"/>
        <v>0.56971528322524334</v>
      </c>
      <c r="Q33" s="101" t="str">
        <f t="shared" si="2"/>
        <v xml:space="preserve"> </v>
      </c>
      <c r="R33" s="91" t="str">
        <f>IF($C$4="High Inventory",IF(AND(O33&gt;=Summary!$C$106,P33&gt;=Summary!$C$107),"X"," "),IF(AND(O33&lt;=-Summary!$C$106,P33&lt;=-Summary!$C$107),"X"," "))</f>
        <v>X</v>
      </c>
      <c r="S33" s="21" t="str">
        <f>IF(AND(L33-I33&gt;=Summary!$C$110,N33-K33&gt;Summary!$C$110,N33&gt;0),"X"," ")</f>
        <v xml:space="preserve"> </v>
      </c>
      <c r="T33" s="17" t="str">
        <f>IF($C$4="High Inventory",IF(AND($O33&gt;=Summary!$C$106,$P33&gt;=0%),"X"," "),IF(AND($O33&lt;=-Summary!$C$106,$P33&lt;=0%),"X"," "))</f>
        <v>X</v>
      </c>
      <c r="U33" s="21" t="str">
        <f>IF($C$4="High Inventory",IF(AND($O33&gt;=0,$P33&gt;=Summary!$C$107),"X"," "),IF(AND($O33&lt;=0,$P33&lt;=-Summary!$C$107),"X"," "))</f>
        <v>X</v>
      </c>
      <c r="V33" t="str">
        <f t="shared" si="3"/>
        <v xml:space="preserve"> </v>
      </c>
    </row>
    <row r="34" spans="1:22" x14ac:dyDescent="0.2">
      <c r="A34" s="42">
        <v>1281</v>
      </c>
      <c r="B34" s="77" t="s">
        <v>15</v>
      </c>
      <c r="C34" s="10">
        <v>45801</v>
      </c>
      <c r="D34" s="5">
        <v>19349</v>
      </c>
      <c r="E34" s="5">
        <v>26452</v>
      </c>
      <c r="F34" s="10">
        <v>48223</v>
      </c>
      <c r="G34" s="5">
        <v>17811</v>
      </c>
      <c r="H34" s="5">
        <v>30412</v>
      </c>
      <c r="I34" s="10">
        <v>8265</v>
      </c>
      <c r="J34" s="5">
        <v>8715</v>
      </c>
      <c r="K34" s="5">
        <v>-450</v>
      </c>
      <c r="L34" s="10">
        <v>8223</v>
      </c>
      <c r="M34" s="5">
        <v>7970</v>
      </c>
      <c r="N34" s="5">
        <v>253</v>
      </c>
      <c r="O34" s="10">
        <f t="shared" si="0"/>
        <v>56414</v>
      </c>
      <c r="P34" s="97">
        <f t="shared" si="1"/>
        <v>1.2297061644432818</v>
      </c>
      <c r="Q34" s="101" t="str">
        <f t="shared" si="2"/>
        <v xml:space="preserve"> </v>
      </c>
      <c r="R34" s="91" t="str">
        <f>IF($C$4="High Inventory",IF(AND(O34&gt;=Summary!$C$106,P34&gt;=Summary!$C$107),"X"," "),IF(AND(O34&lt;=-Summary!$C$106,P34&lt;=-Summary!$C$107),"X"," "))</f>
        <v>X</v>
      </c>
      <c r="S34" s="21" t="str">
        <f>IF(AND(L34-I34&gt;=Summary!$C$110,N34-K34&gt;Summary!$C$110,N34&gt;0),"X"," ")</f>
        <v xml:space="preserve"> </v>
      </c>
      <c r="T34" s="17" t="str">
        <f>IF($C$4="High Inventory",IF(AND($O34&gt;=Summary!$C$106,$P34&gt;=0%),"X"," "),IF(AND($O34&lt;=-Summary!$C$106,$P34&lt;=0%),"X"," "))</f>
        <v>X</v>
      </c>
      <c r="U34" s="21" t="str">
        <f>IF($C$4="High Inventory",IF(AND($O34&gt;=0,$P34&gt;=Summary!$C$107),"X"," "),IF(AND($O34&lt;=0,$P34&lt;=-Summary!$C$107),"X"," "))</f>
        <v>X</v>
      </c>
      <c r="V34" t="str">
        <f t="shared" si="3"/>
        <v xml:space="preserve"> </v>
      </c>
    </row>
    <row r="35" spans="1:22" x14ac:dyDescent="0.2">
      <c r="A35" s="42">
        <v>1340</v>
      </c>
      <c r="B35" s="77" t="s">
        <v>15</v>
      </c>
      <c r="C35" s="10">
        <v>4318</v>
      </c>
      <c r="D35" s="5">
        <v>6124</v>
      </c>
      <c r="E35" s="5">
        <v>-1806</v>
      </c>
      <c r="F35" s="10">
        <v>3706</v>
      </c>
      <c r="G35" s="5">
        <v>6085</v>
      </c>
      <c r="H35" s="5">
        <v>-2379</v>
      </c>
      <c r="I35" s="10">
        <v>1318</v>
      </c>
      <c r="J35" s="5">
        <v>4597</v>
      </c>
      <c r="K35" s="5">
        <v>-3279</v>
      </c>
      <c r="L35" s="10">
        <v>1318</v>
      </c>
      <c r="M35" s="5">
        <v>3845</v>
      </c>
      <c r="N35" s="5">
        <v>-2527</v>
      </c>
      <c r="O35" s="10">
        <f t="shared" si="0"/>
        <v>-7464</v>
      </c>
      <c r="P35" s="97">
        <f t="shared" si="1"/>
        <v>-0.44410067233890643</v>
      </c>
      <c r="Q35" s="101" t="str">
        <f t="shared" si="2"/>
        <v xml:space="preserve"> </v>
      </c>
      <c r="R35" s="91" t="str">
        <f>IF($C$4="High Inventory",IF(AND(O35&gt;=Summary!$C$106,P35&gt;=Summary!$C$107),"X"," "),IF(AND(O35&lt;=-Summary!$C$106,P35&lt;=-Summary!$C$107),"X"," "))</f>
        <v xml:space="preserve"> </v>
      </c>
      <c r="S35" s="21" t="str">
        <f>IF(AND(L35-I35&gt;=Summary!$C$110,N35-K35&gt;Summary!$C$110,N35&gt;0),"X"," ")</f>
        <v xml:space="preserve"> </v>
      </c>
      <c r="T35" s="17" t="str">
        <f>IF($C$4="High Inventory",IF(AND($O35&gt;=Summary!$C$106,$P35&gt;=0%),"X"," "),IF(AND($O35&lt;=-Summary!$C$106,$P35&lt;=0%),"X"," "))</f>
        <v xml:space="preserve"> </v>
      </c>
      <c r="U35" s="21" t="str">
        <f>IF($C$4="High Inventory",IF(AND($O35&gt;=0,$P35&gt;=Summary!$C$107),"X"," "),IF(AND($O35&lt;=0,$P35&lt;=-Summary!$C$107),"X"," "))</f>
        <v xml:space="preserve"> </v>
      </c>
      <c r="V35" t="str">
        <f t="shared" si="3"/>
        <v xml:space="preserve"> </v>
      </c>
    </row>
    <row r="36" spans="1:22" x14ac:dyDescent="0.2">
      <c r="A36" s="42">
        <v>1377</v>
      </c>
      <c r="B36" s="77" t="s">
        <v>15</v>
      </c>
      <c r="C36" s="10">
        <v>58505</v>
      </c>
      <c r="D36" s="5">
        <v>85162</v>
      </c>
      <c r="E36" s="5">
        <v>-26657</v>
      </c>
      <c r="F36" s="10">
        <v>96731</v>
      </c>
      <c r="G36" s="5">
        <v>89600</v>
      </c>
      <c r="H36" s="5">
        <v>7131</v>
      </c>
      <c r="I36" s="10">
        <v>68999</v>
      </c>
      <c r="J36" s="5">
        <v>85966</v>
      </c>
      <c r="K36" s="5">
        <v>-16967</v>
      </c>
      <c r="L36" s="10">
        <v>59799</v>
      </c>
      <c r="M36" s="5">
        <v>79620</v>
      </c>
      <c r="N36" s="5">
        <v>-19821</v>
      </c>
      <c r="O36" s="10">
        <f t="shared" si="0"/>
        <v>-36493</v>
      </c>
      <c r="P36" s="97">
        <f t="shared" si="1"/>
        <v>-0.13996525127622933</v>
      </c>
      <c r="Q36" s="101" t="str">
        <f t="shared" si="2"/>
        <v xml:space="preserve"> </v>
      </c>
      <c r="R36" s="91" t="str">
        <f>IF($C$4="High Inventory",IF(AND(O36&gt;=Summary!$C$106,P36&gt;=Summary!$C$107),"X"," "),IF(AND(O36&lt;=-Summary!$C$106,P36&lt;=-Summary!$C$107),"X"," "))</f>
        <v xml:space="preserve"> </v>
      </c>
      <c r="S36" s="21" t="str">
        <f>IF(AND(L36-I36&gt;=Summary!$C$110,N36-K36&gt;Summary!$C$110,N36&gt;0),"X"," ")</f>
        <v xml:space="preserve"> </v>
      </c>
      <c r="T36" s="17" t="str">
        <f>IF($C$4="High Inventory",IF(AND($O36&gt;=Summary!$C$106,$P36&gt;=0%),"X"," "),IF(AND($O36&lt;=-Summary!$C$106,$P36&lt;=0%),"X"," "))</f>
        <v xml:space="preserve"> </v>
      </c>
      <c r="U36" s="21" t="str">
        <f>IF($C$4="High Inventory",IF(AND($O36&gt;=0,$P36&gt;=Summary!$C$107),"X"," "),IF(AND($O36&lt;=0,$P36&lt;=-Summary!$C$107),"X"," "))</f>
        <v xml:space="preserve"> </v>
      </c>
      <c r="V36" t="str">
        <f t="shared" si="3"/>
        <v xml:space="preserve"> </v>
      </c>
    </row>
    <row r="37" spans="1:22" x14ac:dyDescent="0.2">
      <c r="A37" s="42">
        <v>1830</v>
      </c>
      <c r="B37" s="77" t="s">
        <v>15</v>
      </c>
      <c r="C37" s="10">
        <v>0</v>
      </c>
      <c r="D37" s="5">
        <v>0</v>
      </c>
      <c r="E37" s="5">
        <v>0</v>
      </c>
      <c r="F37" s="10">
        <v>0</v>
      </c>
      <c r="G37" s="5">
        <v>0</v>
      </c>
      <c r="H37" s="5">
        <v>0</v>
      </c>
      <c r="I37" s="10">
        <v>0</v>
      </c>
      <c r="J37" s="5">
        <v>1</v>
      </c>
      <c r="K37" s="5">
        <v>-1</v>
      </c>
      <c r="L37" s="10">
        <v>0</v>
      </c>
      <c r="M37" s="5">
        <v>1228</v>
      </c>
      <c r="N37" s="5">
        <v>-1228</v>
      </c>
      <c r="O37" s="10">
        <f t="shared" si="0"/>
        <v>-1</v>
      </c>
      <c r="P37" s="97">
        <f t="shared" si="1"/>
        <v>-0.5</v>
      </c>
      <c r="Q37" s="101" t="str">
        <f t="shared" si="2"/>
        <v xml:space="preserve"> </v>
      </c>
      <c r="R37" s="91" t="str">
        <f>IF($C$4="High Inventory",IF(AND(O37&gt;=Summary!$C$106,P37&gt;=Summary!$C$107),"X"," "),IF(AND(O37&lt;=-Summary!$C$106,P37&lt;=-Summary!$C$107),"X"," "))</f>
        <v xml:space="preserve"> </v>
      </c>
      <c r="S37" s="21" t="str">
        <f>IF(AND(L37-I37&gt;=Summary!$C$110,N37-K37&gt;Summary!$C$110,N37&gt;0),"X"," ")</f>
        <v xml:space="preserve"> </v>
      </c>
      <c r="T37" s="17" t="str">
        <f>IF($C$4="High Inventory",IF(AND($O37&gt;=Summary!$C$106,$P37&gt;=0%),"X"," "),IF(AND($O37&lt;=-Summary!$C$106,$P37&lt;=0%),"X"," "))</f>
        <v xml:space="preserve"> </v>
      </c>
      <c r="U37" s="21" t="str">
        <f>IF($C$4="High Inventory",IF(AND($O37&gt;=0,$P37&gt;=Summary!$C$107),"X"," "),IF(AND($O37&lt;=0,$P37&lt;=-Summary!$C$107),"X"," "))</f>
        <v xml:space="preserve"> </v>
      </c>
      <c r="V37" t="str">
        <f t="shared" si="3"/>
        <v xml:space="preserve"> </v>
      </c>
    </row>
    <row r="38" spans="1:22" x14ac:dyDescent="0.2">
      <c r="A38" s="42">
        <v>1864</v>
      </c>
      <c r="B38" s="77" t="s">
        <v>15</v>
      </c>
      <c r="C38" s="10">
        <v>416224</v>
      </c>
      <c r="D38" s="5">
        <v>422275</v>
      </c>
      <c r="E38" s="5">
        <v>-6051</v>
      </c>
      <c r="F38" s="10">
        <v>437283</v>
      </c>
      <c r="G38" s="5">
        <v>416688</v>
      </c>
      <c r="H38" s="5">
        <v>20595</v>
      </c>
      <c r="I38" s="10">
        <v>345028</v>
      </c>
      <c r="J38" s="5">
        <v>367308</v>
      </c>
      <c r="K38" s="5">
        <v>-22280</v>
      </c>
      <c r="L38" s="10">
        <v>371074</v>
      </c>
      <c r="M38" s="5">
        <v>375497</v>
      </c>
      <c r="N38" s="5">
        <v>-4423</v>
      </c>
      <c r="O38" s="10">
        <f t="shared" si="0"/>
        <v>-7736</v>
      </c>
      <c r="P38" s="97">
        <f t="shared" si="1"/>
        <v>-6.4131472835314094E-3</v>
      </c>
      <c r="Q38" s="101" t="str">
        <f t="shared" si="2"/>
        <v xml:space="preserve"> </v>
      </c>
      <c r="R38" s="91" t="str">
        <f>IF($C$4="High Inventory",IF(AND(O38&gt;=Summary!$C$106,P38&gt;=Summary!$C$107),"X"," "),IF(AND(O38&lt;=-Summary!$C$106,P38&lt;=-Summary!$C$107),"X"," "))</f>
        <v xml:space="preserve"> </v>
      </c>
      <c r="S38" s="21" t="str">
        <f>IF(AND(L38-I38&gt;=Summary!$C$110,N38-K38&gt;Summary!$C$110,N38&gt;0),"X"," ")</f>
        <v xml:space="preserve"> </v>
      </c>
      <c r="T38" s="17" t="str">
        <f>IF($C$4="High Inventory",IF(AND($O38&gt;=Summary!$C$106,$P38&gt;=0%),"X"," "),IF(AND($O38&lt;=-Summary!$C$106,$P38&lt;=0%),"X"," "))</f>
        <v xml:space="preserve"> </v>
      </c>
      <c r="U38" s="21" t="str">
        <f>IF($C$4="High Inventory",IF(AND($O38&gt;=0,$P38&gt;=Summary!$C$107),"X"," "),IF(AND($O38&lt;=0,$P38&lt;=-Summary!$C$107),"X"," "))</f>
        <v xml:space="preserve"> </v>
      </c>
      <c r="V38" t="str">
        <f t="shared" si="3"/>
        <v xml:space="preserve"> </v>
      </c>
    </row>
    <row r="39" spans="1:22" x14ac:dyDescent="0.2">
      <c r="A39" s="42">
        <v>1922</v>
      </c>
      <c r="B39" s="77" t="s">
        <v>15</v>
      </c>
      <c r="C39" s="10">
        <v>92732</v>
      </c>
      <c r="D39" s="5">
        <v>57202</v>
      </c>
      <c r="E39" s="5">
        <v>35530</v>
      </c>
      <c r="F39" s="10">
        <v>76824</v>
      </c>
      <c r="G39" s="5">
        <v>54369</v>
      </c>
      <c r="H39" s="5">
        <v>22455</v>
      </c>
      <c r="I39" s="10">
        <v>50008</v>
      </c>
      <c r="J39" s="5">
        <v>37654</v>
      </c>
      <c r="K39" s="5">
        <v>12354</v>
      </c>
      <c r="L39" s="10">
        <v>36597</v>
      </c>
      <c r="M39" s="5">
        <v>40840</v>
      </c>
      <c r="N39" s="5">
        <v>-4243</v>
      </c>
      <c r="O39" s="10">
        <f t="shared" si="0"/>
        <v>70339</v>
      </c>
      <c r="P39" s="97">
        <f t="shared" si="1"/>
        <v>0.47135887847962149</v>
      </c>
      <c r="Q39" s="101" t="str">
        <f t="shared" si="2"/>
        <v xml:space="preserve"> </v>
      </c>
      <c r="R39" s="91" t="str">
        <f>IF($C$4="High Inventory",IF(AND(O39&gt;=Summary!$C$106,P39&gt;=Summary!$C$107),"X"," "),IF(AND(O39&lt;=-Summary!$C$106,P39&lt;=-Summary!$C$107),"X"," "))</f>
        <v>X</v>
      </c>
      <c r="S39" s="21" t="str">
        <f>IF(AND(L39-I39&gt;=Summary!$C$110,N39-K39&gt;Summary!$C$110,N39&gt;0),"X"," ")</f>
        <v xml:space="preserve"> </v>
      </c>
      <c r="T39" s="17" t="str">
        <f>IF($C$4="High Inventory",IF(AND($O39&gt;=Summary!$C$106,$P39&gt;=0%),"X"," "),IF(AND($O39&lt;=-Summary!$C$106,$P39&lt;=0%),"X"," "))</f>
        <v>X</v>
      </c>
      <c r="U39" s="21" t="str">
        <f>IF($C$4="High Inventory",IF(AND($O39&gt;=0,$P39&gt;=Summary!$C$107),"X"," "),IF(AND($O39&lt;=0,$P39&lt;=-Summary!$C$107),"X"," "))</f>
        <v>X</v>
      </c>
      <c r="V39" t="str">
        <f t="shared" si="3"/>
        <v xml:space="preserve"> </v>
      </c>
    </row>
    <row r="40" spans="1:22" x14ac:dyDescent="0.2">
      <c r="A40" s="42">
        <v>1928</v>
      </c>
      <c r="B40" s="77" t="s">
        <v>15</v>
      </c>
      <c r="C40" s="10">
        <v>16084</v>
      </c>
      <c r="D40" s="5">
        <v>16831</v>
      </c>
      <c r="E40" s="5">
        <v>-747</v>
      </c>
      <c r="F40" s="10">
        <v>16084</v>
      </c>
      <c r="G40" s="5">
        <v>16070</v>
      </c>
      <c r="H40" s="5">
        <v>14</v>
      </c>
      <c r="I40" s="10">
        <v>13084</v>
      </c>
      <c r="J40" s="5">
        <v>14430</v>
      </c>
      <c r="K40" s="5">
        <v>-1346</v>
      </c>
      <c r="L40" s="10">
        <v>13084</v>
      </c>
      <c r="M40" s="5">
        <v>14854</v>
      </c>
      <c r="N40" s="5">
        <v>-1770</v>
      </c>
      <c r="O40" s="10">
        <f t="shared" si="0"/>
        <v>-2079</v>
      </c>
      <c r="P40" s="97">
        <f t="shared" si="1"/>
        <v>-4.3923772500633819E-2</v>
      </c>
      <c r="Q40" s="101" t="str">
        <f t="shared" si="2"/>
        <v xml:space="preserve"> </v>
      </c>
      <c r="R40" s="91" t="str">
        <f>IF($C$4="High Inventory",IF(AND(O40&gt;=Summary!$C$106,P40&gt;=Summary!$C$107),"X"," "),IF(AND(O40&lt;=-Summary!$C$106,P40&lt;=-Summary!$C$107),"X"," "))</f>
        <v xml:space="preserve"> </v>
      </c>
      <c r="S40" s="21" t="str">
        <f>IF(AND(L40-I40&gt;=Summary!$C$110,N40-K40&gt;Summary!$C$110,N40&gt;0),"X"," ")</f>
        <v xml:space="preserve"> </v>
      </c>
      <c r="T40" s="17" t="str">
        <f>IF($C$4="High Inventory",IF(AND($O40&gt;=Summary!$C$106,$P40&gt;=0%),"X"," "),IF(AND($O40&lt;=-Summary!$C$106,$P40&lt;=0%),"X"," "))</f>
        <v xml:space="preserve"> </v>
      </c>
      <c r="U40" s="21" t="str">
        <f>IF($C$4="High Inventory",IF(AND($O40&gt;=0,$P40&gt;=Summary!$C$107),"X"," "),IF(AND($O40&lt;=0,$P40&lt;=-Summary!$C$107),"X"," "))</f>
        <v xml:space="preserve"> </v>
      </c>
      <c r="V40" t="str">
        <f t="shared" si="3"/>
        <v xml:space="preserve"> </v>
      </c>
    </row>
    <row r="41" spans="1:22" x14ac:dyDescent="0.2">
      <c r="A41" s="42">
        <v>2056</v>
      </c>
      <c r="B41" s="77" t="s">
        <v>15</v>
      </c>
      <c r="C41" s="10">
        <v>62734</v>
      </c>
      <c r="D41" s="5">
        <v>61348</v>
      </c>
      <c r="E41" s="5">
        <v>1386</v>
      </c>
      <c r="F41" s="10">
        <v>65910</v>
      </c>
      <c r="G41" s="5">
        <v>65664</v>
      </c>
      <c r="H41" s="5">
        <v>246</v>
      </c>
      <c r="I41" s="10">
        <v>60559</v>
      </c>
      <c r="J41" s="5">
        <v>65066</v>
      </c>
      <c r="K41" s="5">
        <v>-4507</v>
      </c>
      <c r="L41" s="10">
        <v>60514</v>
      </c>
      <c r="M41" s="5">
        <v>64116</v>
      </c>
      <c r="N41" s="5">
        <v>-3602</v>
      </c>
      <c r="O41" s="10">
        <f t="shared" si="0"/>
        <v>-2875</v>
      </c>
      <c r="P41" s="97">
        <f t="shared" si="1"/>
        <v>-1.4967799707412055E-2</v>
      </c>
      <c r="Q41" s="101" t="str">
        <f t="shared" si="2"/>
        <v xml:space="preserve"> </v>
      </c>
      <c r="R41" s="91" t="str">
        <f>IF($C$4="High Inventory",IF(AND(O41&gt;=Summary!$C$106,P41&gt;=Summary!$C$107),"X"," "),IF(AND(O41&lt;=-Summary!$C$106,P41&lt;=-Summary!$C$107),"X"," "))</f>
        <v xml:space="preserve"> </v>
      </c>
      <c r="S41" s="21" t="str">
        <f>IF(AND(L41-I41&gt;=Summary!$C$110,N41-K41&gt;Summary!$C$110,N41&gt;0),"X"," ")</f>
        <v xml:space="preserve"> </v>
      </c>
      <c r="T41" s="17" t="str">
        <f>IF($C$4="High Inventory",IF(AND($O41&gt;=Summary!$C$106,$P41&gt;=0%),"X"," "),IF(AND($O41&lt;=-Summary!$C$106,$P41&lt;=0%),"X"," "))</f>
        <v xml:space="preserve"> </v>
      </c>
      <c r="U41" s="21" t="str">
        <f>IF($C$4="High Inventory",IF(AND($O41&gt;=0,$P41&gt;=Summary!$C$107),"X"," "),IF(AND($O41&lt;=0,$P41&lt;=-Summary!$C$107),"X"," "))</f>
        <v xml:space="preserve"> </v>
      </c>
      <c r="V41" t="str">
        <f t="shared" si="3"/>
        <v xml:space="preserve"> </v>
      </c>
    </row>
    <row r="42" spans="1:22" x14ac:dyDescent="0.2">
      <c r="A42" s="42">
        <v>2280</v>
      </c>
      <c r="B42" s="77" t="s">
        <v>15</v>
      </c>
      <c r="C42" s="10">
        <v>8796</v>
      </c>
      <c r="D42" s="5">
        <v>10532</v>
      </c>
      <c r="E42" s="5">
        <v>-1736</v>
      </c>
      <c r="F42" s="10">
        <v>8796</v>
      </c>
      <c r="G42" s="5">
        <v>9876</v>
      </c>
      <c r="H42" s="5">
        <v>-1080</v>
      </c>
      <c r="I42" s="10">
        <v>7016</v>
      </c>
      <c r="J42" s="5">
        <v>5870</v>
      </c>
      <c r="K42" s="5">
        <v>1146</v>
      </c>
      <c r="L42" s="10">
        <v>6840</v>
      </c>
      <c r="M42" s="5">
        <v>5911</v>
      </c>
      <c r="N42" s="5">
        <v>929</v>
      </c>
      <c r="O42" s="10">
        <f t="shared" si="0"/>
        <v>-1670</v>
      </c>
      <c r="P42" s="97">
        <f t="shared" si="1"/>
        <v>-6.3548841280109597E-2</v>
      </c>
      <c r="Q42" s="101" t="str">
        <f t="shared" si="2"/>
        <v xml:space="preserve"> </v>
      </c>
      <c r="R42" s="91" t="str">
        <f>IF($C$4="High Inventory",IF(AND(O42&gt;=Summary!$C$106,P42&gt;=Summary!$C$107),"X"," "),IF(AND(O42&lt;=-Summary!$C$106,P42&lt;=-Summary!$C$107),"X"," "))</f>
        <v xml:space="preserve"> </v>
      </c>
      <c r="S42" s="21" t="str">
        <f>IF(AND(L42-I42&gt;=Summary!$C$110,N42-K42&gt;Summary!$C$110,N42&gt;0),"X"," ")</f>
        <v xml:space="preserve"> </v>
      </c>
      <c r="T42" s="17" t="str">
        <f>IF($C$4="High Inventory",IF(AND($O42&gt;=Summary!$C$106,$P42&gt;=0%),"X"," "),IF(AND($O42&lt;=-Summary!$C$106,$P42&lt;=0%),"X"," "))</f>
        <v xml:space="preserve"> </v>
      </c>
      <c r="U42" s="21" t="str">
        <f>IF($C$4="High Inventory",IF(AND($O42&gt;=0,$P42&gt;=Summary!$C$107),"X"," "),IF(AND($O42&lt;=0,$P42&lt;=-Summary!$C$107),"X"," "))</f>
        <v xml:space="preserve"> </v>
      </c>
      <c r="V42" t="str">
        <f t="shared" ref="V42:V73" si="4">IF(S42 = "X",L42-I42," ")</f>
        <v xml:space="preserve"> </v>
      </c>
    </row>
    <row r="43" spans="1:22" x14ac:dyDescent="0.2">
      <c r="A43" s="42">
        <v>2584</v>
      </c>
      <c r="B43" s="77" t="s">
        <v>15</v>
      </c>
      <c r="C43" s="10">
        <v>58336</v>
      </c>
      <c r="D43" s="5">
        <v>59640</v>
      </c>
      <c r="E43" s="5">
        <v>-1304</v>
      </c>
      <c r="F43" s="10">
        <v>55892</v>
      </c>
      <c r="G43" s="5">
        <v>55377</v>
      </c>
      <c r="H43" s="5">
        <v>515</v>
      </c>
      <c r="I43" s="10">
        <v>46151</v>
      </c>
      <c r="J43" s="5">
        <v>44072</v>
      </c>
      <c r="K43" s="5">
        <v>2079</v>
      </c>
      <c r="L43" s="10">
        <v>46151</v>
      </c>
      <c r="M43" s="5">
        <v>39525</v>
      </c>
      <c r="N43" s="5">
        <v>6626</v>
      </c>
      <c r="O43" s="10">
        <f t="shared" si="0"/>
        <v>1290</v>
      </c>
      <c r="P43" s="97">
        <f t="shared" si="1"/>
        <v>8.108617763530078E-3</v>
      </c>
      <c r="Q43" s="101" t="str">
        <f t="shared" si="2"/>
        <v xml:space="preserve"> </v>
      </c>
      <c r="R43" s="91" t="str">
        <f>IF($C$4="High Inventory",IF(AND(O43&gt;=Summary!$C$106,P43&gt;=Summary!$C$107),"X"," "),IF(AND(O43&lt;=-Summary!$C$106,P43&lt;=-Summary!$C$107),"X"," "))</f>
        <v xml:space="preserve"> </v>
      </c>
      <c r="S43" s="21" t="str">
        <f>IF(AND(L43-I43&gt;=Summary!$C$110,N43-K43&gt;Summary!$C$110,N43&gt;0),"X"," ")</f>
        <v xml:space="preserve"> </v>
      </c>
      <c r="T43" s="17" t="str">
        <f>IF($C$4="High Inventory",IF(AND($O43&gt;=Summary!$C$106,$P43&gt;=0%),"X"," "),IF(AND($O43&lt;=-Summary!$C$106,$P43&lt;=0%),"X"," "))</f>
        <v xml:space="preserve"> </v>
      </c>
      <c r="U43" s="21" t="str">
        <f>IF($C$4="High Inventory",IF(AND($O43&gt;=0,$P43&gt;=Summary!$C$107),"X"," "),IF(AND($O43&lt;=0,$P43&lt;=-Summary!$C$107),"X"," "))</f>
        <v xml:space="preserve"> </v>
      </c>
      <c r="V43" t="str">
        <f t="shared" si="4"/>
        <v xml:space="preserve"> </v>
      </c>
    </row>
    <row r="44" spans="1:22" x14ac:dyDescent="0.2">
      <c r="A44" s="42">
        <v>2771</v>
      </c>
      <c r="B44" s="77" t="s">
        <v>15</v>
      </c>
      <c r="C44" s="10">
        <v>14064</v>
      </c>
      <c r="D44" s="5">
        <v>26178</v>
      </c>
      <c r="E44" s="5">
        <v>-12114</v>
      </c>
      <c r="F44" s="10">
        <v>18912</v>
      </c>
      <c r="G44" s="5">
        <v>24334</v>
      </c>
      <c r="H44" s="5">
        <v>-5422</v>
      </c>
      <c r="I44" s="10">
        <v>17918</v>
      </c>
      <c r="J44" s="5">
        <v>17219</v>
      </c>
      <c r="K44" s="5">
        <v>699</v>
      </c>
      <c r="L44" s="10">
        <v>18173</v>
      </c>
      <c r="M44" s="5">
        <v>15333</v>
      </c>
      <c r="N44" s="5">
        <v>2840</v>
      </c>
      <c r="O44" s="10">
        <f t="shared" si="0"/>
        <v>-16837</v>
      </c>
      <c r="P44" s="97">
        <f t="shared" si="1"/>
        <v>-0.24858264926474929</v>
      </c>
      <c r="Q44" s="101" t="str">
        <f t="shared" si="2"/>
        <v xml:space="preserve"> </v>
      </c>
      <c r="R44" s="91" t="str">
        <f>IF($C$4="High Inventory",IF(AND(O44&gt;=Summary!$C$106,P44&gt;=Summary!$C$107),"X"," "),IF(AND(O44&lt;=-Summary!$C$106,P44&lt;=-Summary!$C$107),"X"," "))</f>
        <v xml:space="preserve"> </v>
      </c>
      <c r="S44" s="21" t="str">
        <f>IF(AND(L44-I44&gt;=Summary!$C$110,N44-K44&gt;Summary!$C$110,N44&gt;0),"X"," ")</f>
        <v xml:space="preserve"> </v>
      </c>
      <c r="T44" s="17" t="str">
        <f>IF($C$4="High Inventory",IF(AND($O44&gt;=Summary!$C$106,$P44&gt;=0%),"X"," "),IF(AND($O44&lt;=-Summary!$C$106,$P44&lt;=0%),"X"," "))</f>
        <v xml:space="preserve"> </v>
      </c>
      <c r="U44" s="21" t="str">
        <f>IF($C$4="High Inventory",IF(AND($O44&gt;=0,$P44&gt;=Summary!$C$107),"X"," "),IF(AND($O44&lt;=0,$P44&lt;=-Summary!$C$107),"X"," "))</f>
        <v xml:space="preserve"> </v>
      </c>
      <c r="V44" t="str">
        <f t="shared" si="4"/>
        <v xml:space="preserve"> </v>
      </c>
    </row>
    <row r="45" spans="1:22" x14ac:dyDescent="0.2">
      <c r="A45" s="42">
        <v>2832</v>
      </c>
      <c r="B45" s="77" t="s">
        <v>15</v>
      </c>
      <c r="C45" s="10">
        <v>5200</v>
      </c>
      <c r="D45" s="5">
        <v>6169</v>
      </c>
      <c r="E45" s="5">
        <v>-969</v>
      </c>
      <c r="F45" s="10">
        <v>5200</v>
      </c>
      <c r="G45" s="5">
        <v>5109</v>
      </c>
      <c r="H45" s="5">
        <v>91</v>
      </c>
      <c r="I45" s="10">
        <v>5350</v>
      </c>
      <c r="J45" s="5">
        <v>3850</v>
      </c>
      <c r="K45" s="5">
        <v>1500</v>
      </c>
      <c r="L45" s="10">
        <v>5300</v>
      </c>
      <c r="M45" s="5">
        <v>3741</v>
      </c>
      <c r="N45" s="5">
        <v>1559</v>
      </c>
      <c r="O45" s="10">
        <f t="shared" si="0"/>
        <v>622</v>
      </c>
      <c r="P45" s="97">
        <f t="shared" si="1"/>
        <v>4.1113094057769847E-2</v>
      </c>
      <c r="Q45" s="101" t="str">
        <f t="shared" si="2"/>
        <v xml:space="preserve"> </v>
      </c>
      <c r="R45" s="91" t="str">
        <f>IF($C$4="High Inventory",IF(AND(O45&gt;=Summary!$C$106,P45&gt;=Summary!$C$107),"X"," "),IF(AND(O45&lt;=-Summary!$C$106,P45&lt;=-Summary!$C$107),"X"," "))</f>
        <v xml:space="preserve"> </v>
      </c>
      <c r="S45" s="21" t="str">
        <f>IF(AND(L45-I45&gt;=Summary!$C$110,N45-K45&gt;Summary!$C$110,N45&gt;0),"X"," ")</f>
        <v xml:space="preserve"> </v>
      </c>
      <c r="T45" s="17" t="str">
        <f>IF($C$4="High Inventory",IF(AND($O45&gt;=Summary!$C$106,$P45&gt;=0%),"X"," "),IF(AND($O45&lt;=-Summary!$C$106,$P45&lt;=0%),"X"," "))</f>
        <v xml:space="preserve"> </v>
      </c>
      <c r="U45" s="21" t="str">
        <f>IF($C$4="High Inventory",IF(AND($O45&gt;=0,$P45&gt;=Summary!$C$107),"X"," "),IF(AND($O45&lt;=0,$P45&lt;=-Summary!$C$107),"X"," "))</f>
        <v xml:space="preserve"> </v>
      </c>
      <c r="V45" t="str">
        <f t="shared" si="4"/>
        <v xml:space="preserve"> </v>
      </c>
    </row>
    <row r="46" spans="1:22" x14ac:dyDescent="0.2">
      <c r="A46" s="42">
        <v>2892</v>
      </c>
      <c r="B46" s="77" t="s">
        <v>15</v>
      </c>
      <c r="C46" s="10">
        <v>170</v>
      </c>
      <c r="D46" s="5">
        <v>198</v>
      </c>
      <c r="E46" s="5">
        <v>-28</v>
      </c>
      <c r="F46" s="10">
        <v>170</v>
      </c>
      <c r="G46" s="5">
        <v>200</v>
      </c>
      <c r="H46" s="5">
        <v>-30</v>
      </c>
      <c r="I46" s="10">
        <v>95</v>
      </c>
      <c r="J46" s="5">
        <v>196</v>
      </c>
      <c r="K46" s="5">
        <v>-101</v>
      </c>
      <c r="L46" s="10">
        <v>95</v>
      </c>
      <c r="M46" s="5">
        <v>203</v>
      </c>
      <c r="N46" s="5">
        <v>-108</v>
      </c>
      <c r="O46" s="10">
        <f t="shared" si="0"/>
        <v>-159</v>
      </c>
      <c r="P46" s="97">
        <f t="shared" si="1"/>
        <v>-0.26722689075630252</v>
      </c>
      <c r="Q46" s="101" t="str">
        <f t="shared" si="2"/>
        <v xml:space="preserve"> </v>
      </c>
      <c r="R46" s="91" t="str">
        <f>IF($C$4="High Inventory",IF(AND(O46&gt;=Summary!$C$106,P46&gt;=Summary!$C$107),"X"," "),IF(AND(O46&lt;=-Summary!$C$106,P46&lt;=-Summary!$C$107),"X"," "))</f>
        <v xml:space="preserve"> </v>
      </c>
      <c r="S46" s="21" t="str">
        <f>IF(AND(L46-I46&gt;=Summary!$C$110,N46-K46&gt;Summary!$C$110,N46&gt;0),"X"," ")</f>
        <v xml:space="preserve"> </v>
      </c>
      <c r="T46" s="17" t="str">
        <f>IF($C$4="High Inventory",IF(AND($O46&gt;=Summary!$C$106,$P46&gt;=0%),"X"," "),IF(AND($O46&lt;=-Summary!$C$106,$P46&lt;=0%),"X"," "))</f>
        <v xml:space="preserve"> </v>
      </c>
      <c r="U46" s="21" t="str">
        <f>IF($C$4="High Inventory",IF(AND($O46&gt;=0,$P46&gt;=Summary!$C$107),"X"," "),IF(AND($O46&lt;=0,$P46&lt;=-Summary!$C$107),"X"," "))</f>
        <v xml:space="preserve"> </v>
      </c>
      <c r="V46" t="str">
        <f t="shared" si="4"/>
        <v xml:space="preserve"> </v>
      </c>
    </row>
    <row r="47" spans="1:22" x14ac:dyDescent="0.2">
      <c r="A47" s="42">
        <v>3015</v>
      </c>
      <c r="B47" s="77" t="s">
        <v>15</v>
      </c>
      <c r="C47" s="10">
        <v>10795</v>
      </c>
      <c r="D47" s="5">
        <v>21397</v>
      </c>
      <c r="E47" s="5">
        <v>-10602</v>
      </c>
      <c r="F47" s="10">
        <v>20595</v>
      </c>
      <c r="G47" s="5">
        <v>21208</v>
      </c>
      <c r="H47" s="5">
        <v>-613</v>
      </c>
      <c r="I47" s="10">
        <v>20295</v>
      </c>
      <c r="J47" s="5">
        <v>18801</v>
      </c>
      <c r="K47" s="5">
        <v>1494</v>
      </c>
      <c r="L47" s="10">
        <v>20295</v>
      </c>
      <c r="M47" s="5">
        <v>18719</v>
      </c>
      <c r="N47" s="5">
        <v>1576</v>
      </c>
      <c r="O47" s="10">
        <f t="shared" si="0"/>
        <v>-9721</v>
      </c>
      <c r="P47" s="97">
        <f t="shared" si="1"/>
        <v>-0.15830442783396029</v>
      </c>
      <c r="Q47" s="101" t="str">
        <f t="shared" si="2"/>
        <v xml:space="preserve"> </v>
      </c>
      <c r="R47" s="91" t="str">
        <f>IF($C$4="High Inventory",IF(AND(O47&gt;=Summary!$C$106,P47&gt;=Summary!$C$107),"X"," "),IF(AND(O47&lt;=-Summary!$C$106,P47&lt;=-Summary!$C$107),"X"," "))</f>
        <v xml:space="preserve"> </v>
      </c>
      <c r="S47" s="21" t="str">
        <f>IF(AND(L47-I47&gt;=Summary!$C$110,N47-K47&gt;Summary!$C$110,N47&gt;0),"X"," ")</f>
        <v xml:space="preserve"> </v>
      </c>
      <c r="T47" s="17" t="str">
        <f>IF($C$4="High Inventory",IF(AND($O47&gt;=Summary!$C$106,$P47&gt;=0%),"X"," "),IF(AND($O47&lt;=-Summary!$C$106,$P47&lt;=0%),"X"," "))</f>
        <v xml:space="preserve"> </v>
      </c>
      <c r="U47" s="21" t="str">
        <f>IF($C$4="High Inventory",IF(AND($O47&gt;=0,$P47&gt;=Summary!$C$107),"X"," "),IF(AND($O47&lt;=0,$P47&lt;=-Summary!$C$107),"X"," "))</f>
        <v xml:space="preserve"> </v>
      </c>
      <c r="V47" t="str">
        <f t="shared" si="4"/>
        <v xml:space="preserve"> </v>
      </c>
    </row>
    <row r="48" spans="1:22" x14ac:dyDescent="0.2">
      <c r="A48" s="42">
        <v>4303</v>
      </c>
      <c r="B48" s="77" t="s">
        <v>15</v>
      </c>
      <c r="C48" s="10">
        <v>0</v>
      </c>
      <c r="D48" s="5">
        <v>3571</v>
      </c>
      <c r="E48" s="5">
        <v>-3571</v>
      </c>
      <c r="F48" s="10">
        <v>4127</v>
      </c>
      <c r="G48" s="5">
        <v>3391</v>
      </c>
      <c r="H48" s="5">
        <v>736</v>
      </c>
      <c r="I48" s="10">
        <v>2220</v>
      </c>
      <c r="J48" s="5">
        <v>2138</v>
      </c>
      <c r="K48" s="5">
        <v>82</v>
      </c>
      <c r="L48" s="10">
        <v>2114</v>
      </c>
      <c r="M48" s="5">
        <v>1937</v>
      </c>
      <c r="N48" s="5">
        <v>177</v>
      </c>
      <c r="O48" s="10">
        <f t="shared" si="0"/>
        <v>-2753</v>
      </c>
      <c r="P48" s="97">
        <f t="shared" si="1"/>
        <v>-0.30249423140314252</v>
      </c>
      <c r="Q48" s="101" t="str">
        <f t="shared" si="2"/>
        <v xml:space="preserve"> </v>
      </c>
      <c r="R48" s="91" t="str">
        <f>IF($C$4="High Inventory",IF(AND(O48&gt;=Summary!$C$106,P48&gt;=Summary!$C$107),"X"," "),IF(AND(O48&lt;=-Summary!$C$106,P48&lt;=-Summary!$C$107),"X"," "))</f>
        <v xml:space="preserve"> </v>
      </c>
      <c r="S48" s="21" t="str">
        <f>IF(AND(L48-I48&gt;=Summary!$C$110,N48-K48&gt;Summary!$C$110,N48&gt;0),"X"," ")</f>
        <v xml:space="preserve"> </v>
      </c>
      <c r="T48" s="17" t="str">
        <f>IF($C$4="High Inventory",IF(AND($O48&gt;=Summary!$C$106,$P48&gt;=0%),"X"," "),IF(AND($O48&lt;=-Summary!$C$106,$P48&lt;=0%),"X"," "))</f>
        <v xml:space="preserve"> </v>
      </c>
      <c r="U48" s="21" t="str">
        <f>IF($C$4="High Inventory",IF(AND($O48&gt;=0,$P48&gt;=Summary!$C$107),"X"," "),IF(AND($O48&lt;=0,$P48&lt;=-Summary!$C$107),"X"," "))</f>
        <v xml:space="preserve"> </v>
      </c>
      <c r="V48" t="str">
        <f t="shared" si="4"/>
        <v xml:space="preserve"> </v>
      </c>
    </row>
    <row r="49" spans="1:22" x14ac:dyDescent="0.2">
      <c r="A49" s="42">
        <v>4438</v>
      </c>
      <c r="B49" s="77" t="s">
        <v>15</v>
      </c>
      <c r="C49" s="10">
        <v>59921</v>
      </c>
      <c r="D49" s="5">
        <v>57701</v>
      </c>
      <c r="E49" s="5">
        <v>2220</v>
      </c>
      <c r="F49" s="10">
        <v>65983</v>
      </c>
      <c r="G49" s="5">
        <v>58567</v>
      </c>
      <c r="H49" s="5">
        <v>7416</v>
      </c>
      <c r="I49" s="10">
        <v>30268</v>
      </c>
      <c r="J49" s="5">
        <v>37753</v>
      </c>
      <c r="K49" s="5">
        <v>-7485</v>
      </c>
      <c r="L49" s="10">
        <v>29922</v>
      </c>
      <c r="M49" s="5">
        <v>45328</v>
      </c>
      <c r="N49" s="5">
        <v>-15406</v>
      </c>
      <c r="O49" s="10">
        <f t="shared" si="0"/>
        <v>2151</v>
      </c>
      <c r="P49" s="97">
        <f t="shared" si="1"/>
        <v>1.3965537390762358E-2</v>
      </c>
      <c r="Q49" s="101" t="str">
        <f t="shared" si="2"/>
        <v xml:space="preserve"> </v>
      </c>
      <c r="R49" s="91" t="str">
        <f>IF($C$4="High Inventory",IF(AND(O49&gt;=Summary!$C$106,P49&gt;=Summary!$C$107),"X"," "),IF(AND(O49&lt;=-Summary!$C$106,P49&lt;=-Summary!$C$107),"X"," "))</f>
        <v xml:space="preserve"> </v>
      </c>
      <c r="S49" s="21" t="str">
        <f>IF(AND(L49-I49&gt;=Summary!$C$110,N49-K49&gt;Summary!$C$110,N49&gt;0),"X"," ")</f>
        <v xml:space="preserve"> </v>
      </c>
      <c r="T49" s="17" t="str">
        <f>IF($C$4="High Inventory",IF(AND($O49&gt;=Summary!$C$106,$P49&gt;=0%),"X"," "),IF(AND($O49&lt;=-Summary!$C$106,$P49&lt;=0%),"X"," "))</f>
        <v xml:space="preserve"> </v>
      </c>
      <c r="U49" s="21" t="str">
        <f>IF($C$4="High Inventory",IF(AND($O49&gt;=0,$P49&gt;=Summary!$C$107),"X"," "),IF(AND($O49&lt;=0,$P49&lt;=-Summary!$C$107),"X"," "))</f>
        <v xml:space="preserve"> </v>
      </c>
      <c r="V49" t="str">
        <f t="shared" si="4"/>
        <v xml:space="preserve"> </v>
      </c>
    </row>
    <row r="50" spans="1:22" x14ac:dyDescent="0.2">
      <c r="A50" s="42">
        <v>4760</v>
      </c>
      <c r="B50" s="77" t="s">
        <v>15</v>
      </c>
      <c r="C50" s="10">
        <v>248410</v>
      </c>
      <c r="D50" s="5">
        <v>240326</v>
      </c>
      <c r="E50" s="5">
        <v>8084</v>
      </c>
      <c r="F50" s="10">
        <v>266990</v>
      </c>
      <c r="G50" s="5">
        <v>219773</v>
      </c>
      <c r="H50" s="5">
        <v>47217</v>
      </c>
      <c r="I50" s="10">
        <v>115949</v>
      </c>
      <c r="J50" s="5">
        <v>187707</v>
      </c>
      <c r="K50" s="5">
        <v>-71758</v>
      </c>
      <c r="L50" s="10">
        <v>111298</v>
      </c>
      <c r="M50" s="5">
        <v>157236</v>
      </c>
      <c r="N50" s="5">
        <v>-45938</v>
      </c>
      <c r="O50" s="10">
        <f t="shared" si="0"/>
        <v>-16457</v>
      </c>
      <c r="P50" s="97">
        <f t="shared" si="1"/>
        <v>-2.5404171304107551E-2</v>
      </c>
      <c r="Q50" s="101" t="str">
        <f t="shared" si="2"/>
        <v xml:space="preserve"> </v>
      </c>
      <c r="R50" s="91" t="str">
        <f>IF($C$4="High Inventory",IF(AND(O50&gt;=Summary!$C$106,P50&gt;=Summary!$C$107),"X"," "),IF(AND(O50&lt;=-Summary!$C$106,P50&lt;=-Summary!$C$107),"X"," "))</f>
        <v xml:space="preserve"> </v>
      </c>
      <c r="S50" s="21" t="str">
        <f>IF(AND(L50-I50&gt;=Summary!$C$110,N50-K50&gt;Summary!$C$110,N50&gt;0),"X"," ")</f>
        <v xml:space="preserve"> </v>
      </c>
      <c r="T50" s="17" t="str">
        <f>IF($C$4="High Inventory",IF(AND($O50&gt;=Summary!$C$106,$P50&gt;=0%),"X"," "),IF(AND($O50&lt;=-Summary!$C$106,$P50&lt;=0%),"X"," "))</f>
        <v xml:space="preserve"> </v>
      </c>
      <c r="U50" s="21" t="str">
        <f>IF($C$4="High Inventory",IF(AND($O50&gt;=0,$P50&gt;=Summary!$C$107),"X"," "),IF(AND($O50&lt;=0,$P50&lt;=-Summary!$C$107),"X"," "))</f>
        <v xml:space="preserve"> </v>
      </c>
      <c r="V50" t="str">
        <f t="shared" si="4"/>
        <v xml:space="preserve"> </v>
      </c>
    </row>
    <row r="51" spans="1:22" x14ac:dyDescent="0.2">
      <c r="A51" s="42">
        <v>6084</v>
      </c>
      <c r="B51" s="77" t="s">
        <v>15</v>
      </c>
      <c r="C51" s="10">
        <v>0</v>
      </c>
      <c r="D51" s="5">
        <v>30</v>
      </c>
      <c r="E51" s="5">
        <v>-30</v>
      </c>
      <c r="F51" s="10">
        <v>0</v>
      </c>
      <c r="G51" s="5">
        <v>12</v>
      </c>
      <c r="H51" s="5">
        <v>-12</v>
      </c>
      <c r="I51" s="10">
        <v>0</v>
      </c>
      <c r="J51" s="5">
        <v>0</v>
      </c>
      <c r="K51" s="5">
        <v>0</v>
      </c>
      <c r="L51" s="10">
        <v>0</v>
      </c>
      <c r="M51" s="5">
        <v>0</v>
      </c>
      <c r="N51" s="5">
        <v>0</v>
      </c>
      <c r="O51" s="10">
        <f t="shared" si="0"/>
        <v>-42</v>
      </c>
      <c r="P51" s="97">
        <f t="shared" si="1"/>
        <v>-0.97674418604651159</v>
      </c>
      <c r="Q51" s="101" t="str">
        <f t="shared" si="2"/>
        <v xml:space="preserve"> </v>
      </c>
      <c r="R51" s="91" t="str">
        <f>IF($C$4="High Inventory",IF(AND(O51&gt;=Summary!$C$106,P51&gt;=Summary!$C$107),"X"," "),IF(AND(O51&lt;=-Summary!$C$106,P51&lt;=-Summary!$C$107),"X"," "))</f>
        <v xml:space="preserve"> </v>
      </c>
      <c r="S51" s="21" t="str">
        <f>IF(AND(L51-I51&gt;=Summary!$C$110,N51-K51&gt;Summary!$C$110,N51&gt;0),"X"," ")</f>
        <v xml:space="preserve"> </v>
      </c>
      <c r="T51" s="17" t="str">
        <f>IF($C$4="High Inventory",IF(AND($O51&gt;=Summary!$C$106,$P51&gt;=0%),"X"," "),IF(AND($O51&lt;=-Summary!$C$106,$P51&lt;=0%),"X"," "))</f>
        <v xml:space="preserve"> </v>
      </c>
      <c r="U51" s="21" t="str">
        <f>IF($C$4="High Inventory",IF(AND($O51&gt;=0,$P51&gt;=Summary!$C$107),"X"," "),IF(AND($O51&lt;=0,$P51&lt;=-Summary!$C$107),"X"," "))</f>
        <v xml:space="preserve"> </v>
      </c>
      <c r="V51" t="str">
        <f t="shared" si="4"/>
        <v xml:space="preserve"> </v>
      </c>
    </row>
    <row r="52" spans="1:22" x14ac:dyDescent="0.2">
      <c r="A52" s="42">
        <v>6728</v>
      </c>
      <c r="B52" s="77" t="s">
        <v>15</v>
      </c>
      <c r="C52" s="10">
        <v>12000</v>
      </c>
      <c r="D52" s="5">
        <v>7649</v>
      </c>
      <c r="E52" s="5">
        <v>4351</v>
      </c>
      <c r="F52" s="10">
        <v>12000</v>
      </c>
      <c r="G52" s="5">
        <v>6406</v>
      </c>
      <c r="H52" s="5">
        <v>5594</v>
      </c>
      <c r="I52" s="10">
        <v>12000</v>
      </c>
      <c r="J52" s="5">
        <v>10231</v>
      </c>
      <c r="K52" s="5">
        <v>1769</v>
      </c>
      <c r="L52" s="10">
        <v>12000</v>
      </c>
      <c r="M52" s="5">
        <v>10085</v>
      </c>
      <c r="N52" s="5">
        <v>1915</v>
      </c>
      <c r="O52" s="10">
        <f t="shared" si="0"/>
        <v>11714</v>
      </c>
      <c r="P52" s="97">
        <f t="shared" si="1"/>
        <v>0.4823156421130646</v>
      </c>
      <c r="Q52" s="101" t="str">
        <f t="shared" si="2"/>
        <v xml:space="preserve"> </v>
      </c>
      <c r="R52" s="91" t="str">
        <f>IF($C$4="High Inventory",IF(AND(O52&gt;=Summary!$C$106,P52&gt;=Summary!$C$107),"X"," "),IF(AND(O52&lt;=-Summary!$C$106,P52&lt;=-Summary!$C$107),"X"," "))</f>
        <v>X</v>
      </c>
      <c r="S52" s="21" t="str">
        <f>IF(AND(L52-I52&gt;=Summary!$C$110,N52-K52&gt;Summary!$C$110,N52&gt;0),"X"," ")</f>
        <v xml:space="preserve"> </v>
      </c>
      <c r="T52" s="17" t="str">
        <f>IF($C$4="High Inventory",IF(AND($O52&gt;=Summary!$C$106,$P52&gt;=0%),"X"," "),IF(AND($O52&lt;=-Summary!$C$106,$P52&lt;=0%),"X"," "))</f>
        <v>X</v>
      </c>
      <c r="U52" s="21" t="str">
        <f>IF($C$4="High Inventory",IF(AND($O52&gt;=0,$P52&gt;=Summary!$C$107),"X"," "),IF(AND($O52&lt;=0,$P52&lt;=-Summary!$C$107),"X"," "))</f>
        <v>X</v>
      </c>
      <c r="V52" t="str">
        <f t="shared" si="4"/>
        <v xml:space="preserve"> </v>
      </c>
    </row>
    <row r="53" spans="1:22" x14ac:dyDescent="0.2">
      <c r="A53" s="42">
        <v>12296</v>
      </c>
      <c r="B53" s="77" t="s">
        <v>15</v>
      </c>
      <c r="C53" s="10">
        <v>27432</v>
      </c>
      <c r="D53" s="5">
        <v>29943</v>
      </c>
      <c r="E53" s="5">
        <v>-2511</v>
      </c>
      <c r="F53" s="10">
        <v>27432</v>
      </c>
      <c r="G53" s="5">
        <v>29606</v>
      </c>
      <c r="H53" s="5">
        <v>-2174</v>
      </c>
      <c r="I53" s="10">
        <v>23442</v>
      </c>
      <c r="J53" s="5">
        <v>26457</v>
      </c>
      <c r="K53" s="5">
        <v>-3015</v>
      </c>
      <c r="L53" s="10">
        <v>23297</v>
      </c>
      <c r="M53" s="5">
        <v>24774</v>
      </c>
      <c r="N53" s="5">
        <v>-1477</v>
      </c>
      <c r="O53" s="10">
        <f t="shared" si="0"/>
        <v>-7700</v>
      </c>
      <c r="P53" s="97">
        <f t="shared" si="1"/>
        <v>-8.9527596590975159E-2</v>
      </c>
      <c r="Q53" s="101" t="str">
        <f t="shared" si="2"/>
        <v xml:space="preserve"> </v>
      </c>
      <c r="R53" s="91" t="str">
        <f>IF($C$4="High Inventory",IF(AND(O53&gt;=Summary!$C$106,P53&gt;=Summary!$C$107),"X"," "),IF(AND(O53&lt;=-Summary!$C$106,P53&lt;=-Summary!$C$107),"X"," "))</f>
        <v xml:space="preserve"> </v>
      </c>
      <c r="S53" s="21" t="str">
        <f>IF(AND(L53-I53&gt;=Summary!$C$110,N53-K53&gt;Summary!$C$110,N53&gt;0),"X"," ")</f>
        <v xml:space="preserve"> </v>
      </c>
      <c r="T53" s="17" t="str">
        <f>IF($C$4="High Inventory",IF(AND($O53&gt;=Summary!$C$106,$P53&gt;=0%),"X"," "),IF(AND($O53&lt;=-Summary!$C$106,$P53&lt;=0%),"X"," "))</f>
        <v xml:space="preserve"> </v>
      </c>
      <c r="U53" s="21" t="str">
        <f>IF($C$4="High Inventory",IF(AND($O53&gt;=0,$P53&gt;=Summary!$C$107),"X"," "),IF(AND($O53&lt;=0,$P53&lt;=-Summary!$C$107),"X"," "))</f>
        <v xml:space="preserve"> </v>
      </c>
      <c r="V53" t="str">
        <f t="shared" si="4"/>
        <v xml:space="preserve"> </v>
      </c>
    </row>
    <row r="54" spans="1:22" hidden="1" x14ac:dyDescent="0.2">
      <c r="A54" s="42"/>
      <c r="B54" s="77"/>
      <c r="C54" s="10"/>
      <c r="D54" s="5"/>
      <c r="E54" s="5"/>
      <c r="F54" s="10"/>
      <c r="G54" s="5"/>
      <c r="H54" s="5"/>
      <c r="I54" s="10"/>
      <c r="J54" s="5"/>
      <c r="K54" s="5"/>
      <c r="L54" s="10"/>
      <c r="M54" s="5"/>
      <c r="N54" s="5"/>
      <c r="O54" s="10">
        <f t="shared" ref="O54:O62" si="5">K54+H54+E54</f>
        <v>0</v>
      </c>
      <c r="P54" s="97">
        <f t="shared" ref="P54:P62" si="6">O54/(J54+G54+D54+1)</f>
        <v>0</v>
      </c>
      <c r="Q54" s="101" t="str">
        <f t="shared" si="2"/>
        <v xml:space="preserve"> </v>
      </c>
      <c r="R54" s="91" t="str">
        <f>IF($C$4="High Inventory",IF(AND(O54&gt;=Summary!$C$106,P54&gt;=Summary!$C$107),"X"," "),IF(AND(O54&lt;=-Summary!$C$106,P54&lt;=-Summary!$C$107),"X"," "))</f>
        <v xml:space="preserve"> </v>
      </c>
      <c r="S54" s="21" t="str">
        <f>IF(AND(L54-I54&gt;=Summary!$C$110,N54-K54&gt;Summary!$C$110,N54&gt;0),"X"," ")</f>
        <v xml:space="preserve"> </v>
      </c>
      <c r="T54" s="17" t="str">
        <f>IF($C$4="High Inventory",IF(AND($O54&gt;=Summary!$C$106,$P54&gt;=0%),"X"," "),IF(AND($O54&lt;=-Summary!$C$106,$P54&lt;=0%),"X"," "))</f>
        <v xml:space="preserve"> </v>
      </c>
      <c r="U54" s="21" t="str">
        <f>IF($C$4="High Inventory",IF(AND($O54&gt;=0,$P54&gt;=Summary!$C$107),"X"," "),IF(AND($O54&lt;=0,$P54&lt;=-Summary!$C$107),"X"," "))</f>
        <v xml:space="preserve"> </v>
      </c>
      <c r="V54" t="str">
        <f t="shared" si="4"/>
        <v xml:space="preserve"> </v>
      </c>
    </row>
    <row r="55" spans="1:22" hidden="1" x14ac:dyDescent="0.2">
      <c r="A55" s="42"/>
      <c r="B55" s="77"/>
      <c r="C55" s="10"/>
      <c r="D55" s="5"/>
      <c r="E55" s="5"/>
      <c r="F55" s="10"/>
      <c r="G55" s="5"/>
      <c r="H55" s="5"/>
      <c r="I55" s="10"/>
      <c r="J55" s="5"/>
      <c r="K55" s="5"/>
      <c r="L55" s="10"/>
      <c r="M55" s="5"/>
      <c r="N55" s="5"/>
      <c r="O55" s="10">
        <f t="shared" si="5"/>
        <v>0</v>
      </c>
      <c r="P55" s="97">
        <f t="shared" si="6"/>
        <v>0</v>
      </c>
      <c r="Q55" s="101" t="str">
        <f t="shared" si="2"/>
        <v xml:space="preserve"> </v>
      </c>
      <c r="R55" s="91" t="str">
        <f>IF($C$4="High Inventory",IF(AND(O55&gt;=Summary!$C$106,P55&gt;=Summary!$C$107),"X"," "),IF(AND(O55&lt;=-Summary!$C$106,P55&lt;=-Summary!$C$107),"X"," "))</f>
        <v xml:space="preserve"> </v>
      </c>
      <c r="S55" s="21" t="str">
        <f>IF(AND(L55-I55&gt;=Summary!$C$110,N55-K55&gt;Summary!$C$110,N55&gt;0),"X"," ")</f>
        <v xml:space="preserve"> </v>
      </c>
      <c r="T55" s="17" t="str">
        <f>IF($C$4="High Inventory",IF(AND($O55&gt;=Summary!$C$106,$P55&gt;=0%),"X"," "),IF(AND($O55&lt;=-Summary!$C$106,$P55&lt;=0%),"X"," "))</f>
        <v xml:space="preserve"> </v>
      </c>
      <c r="U55" s="21" t="str">
        <f>IF($C$4="High Inventory",IF(AND($O55&gt;=0,$P55&gt;=Summary!$C$107),"X"," "),IF(AND($O55&lt;=0,$P55&lt;=-Summary!$C$107),"X"," "))</f>
        <v xml:space="preserve"> </v>
      </c>
      <c r="V55" t="str">
        <f t="shared" si="4"/>
        <v xml:space="preserve"> </v>
      </c>
    </row>
    <row r="56" spans="1:22" hidden="1" x14ac:dyDescent="0.2">
      <c r="A56" s="42"/>
      <c r="B56" s="77"/>
      <c r="C56" s="15">
        <v>36671</v>
      </c>
      <c r="D56" s="5"/>
      <c r="E56" s="6"/>
      <c r="F56" s="15">
        <v>36672</v>
      </c>
      <c r="G56" s="5"/>
      <c r="H56" s="6"/>
      <c r="I56" s="15">
        <v>36673</v>
      </c>
      <c r="J56" s="5"/>
      <c r="K56" s="6"/>
      <c r="L56" s="15">
        <v>36674</v>
      </c>
      <c r="M56" s="5"/>
      <c r="N56" s="6"/>
      <c r="O56" s="10">
        <f t="shared" si="5"/>
        <v>0</v>
      </c>
      <c r="P56" s="97">
        <f t="shared" si="6"/>
        <v>0</v>
      </c>
      <c r="Q56" s="101" t="str">
        <f t="shared" si="2"/>
        <v xml:space="preserve"> </v>
      </c>
      <c r="R56" s="91" t="str">
        <f>IF($C$4="High Inventory",IF(AND(O56&gt;=Summary!$C$106,P56&gt;=Summary!$C$107),"X"," "),IF(AND(O56&lt;=-Summary!$C$106,P56&lt;=-Summary!$C$107),"X"," "))</f>
        <v xml:space="preserve"> </v>
      </c>
      <c r="S56" s="21" t="str">
        <f>IF(AND(L56-I56&gt;=Summary!$C$110,N56-K56&gt;Summary!$C$110,N56&gt;0),"X"," ")</f>
        <v xml:space="preserve"> </v>
      </c>
      <c r="T56" s="17" t="str">
        <f>IF($C$4="High Inventory",IF(AND($O56&gt;=Summary!$C$106,$P56&gt;=0%),"X"," "),IF(AND($O56&lt;=-Summary!$C$106,$P56&lt;=0%),"X"," "))</f>
        <v xml:space="preserve"> </v>
      </c>
      <c r="U56" s="21" t="str">
        <f>IF($C$4="High Inventory",IF(AND($O56&gt;=0,$P56&gt;=Summary!$C$107),"X"," "),IF(AND($O56&lt;=0,$P56&lt;=-Summary!$C$107),"X"," "))</f>
        <v xml:space="preserve"> </v>
      </c>
      <c r="V56" t="str">
        <f t="shared" si="4"/>
        <v xml:space="preserve"> </v>
      </c>
    </row>
    <row r="57" spans="1:22" hidden="1" x14ac:dyDescent="0.2">
      <c r="A57" s="42" t="s">
        <v>6</v>
      </c>
      <c r="B57" s="77" t="s">
        <v>7</v>
      </c>
      <c r="C57" s="15" t="s">
        <v>37</v>
      </c>
      <c r="D57" s="5" t="s">
        <v>40</v>
      </c>
      <c r="E57" s="5" t="s">
        <v>41</v>
      </c>
      <c r="F57" s="15" t="s">
        <v>37</v>
      </c>
      <c r="G57" s="5" t="s">
        <v>40</v>
      </c>
      <c r="H57" s="5" t="s">
        <v>41</v>
      </c>
      <c r="I57" s="15" t="s">
        <v>37</v>
      </c>
      <c r="J57" s="5" t="s">
        <v>40</v>
      </c>
      <c r="K57" s="5" t="s">
        <v>41</v>
      </c>
      <c r="L57" s="15" t="s">
        <v>37</v>
      </c>
      <c r="M57" s="5" t="s">
        <v>40</v>
      </c>
      <c r="N57" s="5" t="s">
        <v>41</v>
      </c>
      <c r="O57" s="10" t="e">
        <f t="shared" si="5"/>
        <v>#VALUE!</v>
      </c>
      <c r="P57" s="97" t="e">
        <f t="shared" si="6"/>
        <v>#VALUE!</v>
      </c>
      <c r="Q57" s="101" t="str">
        <f t="shared" si="2"/>
        <v xml:space="preserve"> </v>
      </c>
      <c r="R57" s="91" t="e">
        <f>IF($C$4="High Inventory",IF(AND(O57&gt;=Summary!$C$106,P57&gt;=Summary!$C$107),"X"," "),IF(AND(O57&lt;=-Summary!$C$106,P57&lt;=-Summary!$C$107),"X"," "))</f>
        <v>#VALUE!</v>
      </c>
      <c r="S57" s="21" t="e">
        <f>IF(AND(L57-I57&gt;=Summary!$C$110,N57-K57&gt;Summary!$C$110,N57&gt;0),"X"," ")</f>
        <v>#VALUE!</v>
      </c>
      <c r="T57" s="17" t="e">
        <f>IF($C$4="High Inventory",IF(AND($O57&gt;=Summary!$C$106,$P57&gt;=0%),"X"," "),IF(AND($O57&lt;=-Summary!$C$106,$P57&lt;=0%),"X"," "))</f>
        <v>#VALUE!</v>
      </c>
      <c r="U57" s="21" t="e">
        <f>IF($C$4="High Inventory",IF(AND($O57&gt;=0,$P57&gt;=Summary!$C$107),"X"," "),IF(AND($O57&lt;=0,$P57&lt;=-Summary!$C$107),"X"," "))</f>
        <v>#VALUE!</v>
      </c>
      <c r="V57" t="e">
        <f t="shared" si="4"/>
        <v>#VALUE!</v>
      </c>
    </row>
    <row r="58" spans="1:22" x14ac:dyDescent="0.2">
      <c r="A58" s="42">
        <v>51</v>
      </c>
      <c r="B58" s="77" t="s">
        <v>17</v>
      </c>
      <c r="C58" s="10">
        <v>12566</v>
      </c>
      <c r="D58" s="5">
        <v>9909</v>
      </c>
      <c r="E58" s="5">
        <v>2657</v>
      </c>
      <c r="F58" s="10">
        <v>12566</v>
      </c>
      <c r="G58" s="5">
        <v>9449</v>
      </c>
      <c r="H58" s="5">
        <v>3117</v>
      </c>
      <c r="I58" s="10">
        <v>12566</v>
      </c>
      <c r="J58" s="5">
        <v>7024</v>
      </c>
      <c r="K58" s="5">
        <v>5542</v>
      </c>
      <c r="L58" s="10">
        <v>12566</v>
      </c>
      <c r="M58" s="5">
        <v>6229</v>
      </c>
      <c r="N58" s="5">
        <v>6337</v>
      </c>
      <c r="O58" s="10">
        <f t="shared" si="5"/>
        <v>11316</v>
      </c>
      <c r="P58" s="97">
        <f t="shared" si="6"/>
        <v>0.4289125573285828</v>
      </c>
      <c r="Q58" s="101" t="str">
        <f t="shared" si="2"/>
        <v xml:space="preserve"> </v>
      </c>
      <c r="R58" s="91" t="str">
        <f>IF($C$4="High Inventory",IF(AND(O58&gt;=Summary!$C$106,P58&gt;=Summary!$C$107),"X"," "),IF(AND(O58&lt;=-Summary!$C$106,P58&lt;=-Summary!$C$107),"X"," "))</f>
        <v>X</v>
      </c>
      <c r="S58" s="21" t="str">
        <f>IF(AND(L58-I58&gt;=Summary!$C$110,N58-K58&gt;Summary!$C$110,N58&gt;0),"X"," ")</f>
        <v xml:space="preserve"> </v>
      </c>
      <c r="T58" s="17" t="str">
        <f>IF($C$4="High Inventory",IF(AND($O58&gt;=Summary!$C$106,$P58&gt;=0%),"X"," "),IF(AND($O58&lt;=-Summary!$C$106,$P58&lt;=0%),"X"," "))</f>
        <v>X</v>
      </c>
      <c r="U58" s="21" t="str">
        <f>IF($C$4="High Inventory",IF(AND($O58&gt;=0,$P58&gt;=Summary!$C$107),"X"," "),IF(AND($O58&lt;=0,$P58&lt;=-Summary!$C$107),"X"," "))</f>
        <v>X</v>
      </c>
      <c r="V58" t="str">
        <f t="shared" si="4"/>
        <v xml:space="preserve"> </v>
      </c>
    </row>
    <row r="59" spans="1:22" x14ac:dyDescent="0.2">
      <c r="A59" s="42">
        <v>282</v>
      </c>
      <c r="B59" s="77" t="s">
        <v>17</v>
      </c>
      <c r="C59" s="10">
        <v>0</v>
      </c>
      <c r="D59" s="5">
        <v>0</v>
      </c>
      <c r="E59" s="5">
        <v>0</v>
      </c>
      <c r="F59" s="10">
        <v>0</v>
      </c>
      <c r="G59" s="5">
        <v>0</v>
      </c>
      <c r="H59" s="5">
        <v>0</v>
      </c>
      <c r="I59" s="10">
        <v>0</v>
      </c>
      <c r="J59" s="5">
        <v>0</v>
      </c>
      <c r="K59" s="5">
        <v>0</v>
      </c>
      <c r="L59" s="10">
        <v>0</v>
      </c>
      <c r="M59" s="5">
        <v>0</v>
      </c>
      <c r="N59" s="5">
        <v>0</v>
      </c>
      <c r="O59" s="10">
        <f t="shared" si="5"/>
        <v>0</v>
      </c>
      <c r="P59" s="97">
        <f t="shared" si="6"/>
        <v>0</v>
      </c>
      <c r="Q59" s="101" t="str">
        <f t="shared" si="2"/>
        <v xml:space="preserve"> </v>
      </c>
      <c r="R59" s="91" t="str">
        <f>IF($C$4="High Inventory",IF(AND(O59&gt;=Summary!$C$106,P59&gt;=Summary!$C$107),"X"," "),IF(AND(O59&lt;=-Summary!$C$106,P59&lt;=-Summary!$C$107),"X"," "))</f>
        <v xml:space="preserve"> </v>
      </c>
      <c r="S59" s="21" t="str">
        <f>IF(AND(L59-I59&gt;=Summary!$C$110,N59-K59&gt;Summary!$C$110,N59&gt;0),"X"," ")</f>
        <v xml:space="preserve"> </v>
      </c>
      <c r="T59" s="17" t="str">
        <f>IF($C$4="High Inventory",IF(AND($O59&gt;=Summary!$C$106,$P59&gt;=0%),"X"," "),IF(AND($O59&lt;=-Summary!$C$106,$P59&lt;=0%),"X"," "))</f>
        <v xml:space="preserve"> </v>
      </c>
      <c r="U59" s="21" t="str">
        <f>IF($C$4="High Inventory",IF(AND($O59&gt;=0,$P59&gt;=Summary!$C$107),"X"," "),IF(AND($O59&lt;=0,$P59&lt;=-Summary!$C$107),"X"," "))</f>
        <v xml:space="preserve"> </v>
      </c>
      <c r="V59" t="str">
        <f t="shared" si="4"/>
        <v xml:space="preserve"> </v>
      </c>
    </row>
    <row r="60" spans="1:22" x14ac:dyDescent="0.2">
      <c r="A60" s="42">
        <v>289</v>
      </c>
      <c r="B60" s="77" t="s">
        <v>17</v>
      </c>
      <c r="C60" s="10">
        <v>0</v>
      </c>
      <c r="D60" s="5">
        <v>0</v>
      </c>
      <c r="E60" s="5">
        <v>0</v>
      </c>
      <c r="F60" s="10">
        <v>0</v>
      </c>
      <c r="G60" s="5">
        <v>0</v>
      </c>
      <c r="H60" s="5">
        <v>0</v>
      </c>
      <c r="I60" s="10">
        <v>0</v>
      </c>
      <c r="J60" s="5">
        <v>0</v>
      </c>
      <c r="K60" s="5">
        <v>0</v>
      </c>
      <c r="L60" s="10">
        <v>0</v>
      </c>
      <c r="M60" s="5">
        <v>0</v>
      </c>
      <c r="N60" s="5">
        <v>0</v>
      </c>
      <c r="O60" s="10">
        <f t="shared" si="5"/>
        <v>0</v>
      </c>
      <c r="P60" s="97">
        <f t="shared" si="6"/>
        <v>0</v>
      </c>
      <c r="Q60" s="101" t="str">
        <f t="shared" si="2"/>
        <v xml:space="preserve"> </v>
      </c>
      <c r="R60" s="91" t="str">
        <f>IF($C$4="High Inventory",IF(AND(O60&gt;=Summary!$C$106,P60&gt;=Summary!$C$107),"X"," "),IF(AND(O60&lt;=-Summary!$C$106,P60&lt;=-Summary!$C$107),"X"," "))</f>
        <v xml:space="preserve"> </v>
      </c>
      <c r="S60" s="21" t="str">
        <f>IF(AND(L60-I60&gt;=Summary!$C$110,N60-K60&gt;Summary!$C$110,N60&gt;0),"X"," ")</f>
        <v xml:space="preserve"> </v>
      </c>
      <c r="T60" s="17" t="str">
        <f>IF($C$4="High Inventory",IF(AND($O60&gt;=Summary!$C$106,$P60&gt;=0%),"X"," "),IF(AND($O60&lt;=-Summary!$C$106,$P60&lt;=0%),"X"," "))</f>
        <v xml:space="preserve"> </v>
      </c>
      <c r="U60" s="21" t="str">
        <f>IF($C$4="High Inventory",IF(AND($O60&gt;=0,$P60&gt;=Summary!$C$107),"X"," "),IF(AND($O60&lt;=0,$P60&lt;=-Summary!$C$107),"X"," "))</f>
        <v xml:space="preserve"> </v>
      </c>
      <c r="V60" t="str">
        <f t="shared" si="4"/>
        <v xml:space="preserve"> </v>
      </c>
    </row>
    <row r="61" spans="1:22" x14ac:dyDescent="0.2">
      <c r="A61" s="42">
        <v>476</v>
      </c>
      <c r="B61" s="77" t="s">
        <v>17</v>
      </c>
      <c r="C61" s="10">
        <v>0</v>
      </c>
      <c r="D61" s="5">
        <v>0</v>
      </c>
      <c r="E61" s="5">
        <v>0</v>
      </c>
      <c r="F61" s="10">
        <v>0</v>
      </c>
      <c r="G61" s="5">
        <v>0</v>
      </c>
      <c r="H61" s="5">
        <v>0</v>
      </c>
      <c r="I61" s="10">
        <v>0</v>
      </c>
      <c r="J61" s="5">
        <v>0</v>
      </c>
      <c r="K61" s="5">
        <v>0</v>
      </c>
      <c r="L61" s="10">
        <v>0</v>
      </c>
      <c r="M61" s="5">
        <v>0</v>
      </c>
      <c r="N61" s="5">
        <v>0</v>
      </c>
      <c r="O61" s="10">
        <f t="shared" si="5"/>
        <v>0</v>
      </c>
      <c r="P61" s="97">
        <f t="shared" si="6"/>
        <v>0</v>
      </c>
      <c r="Q61" s="101" t="str">
        <f t="shared" si="2"/>
        <v xml:space="preserve"> </v>
      </c>
      <c r="R61" s="91" t="str">
        <f>IF($C$4="High Inventory",IF(AND(O61&gt;=Summary!$C$106,P61&gt;=Summary!$C$107),"X"," "),IF(AND(O61&lt;=-Summary!$C$106,P61&lt;=-Summary!$C$107),"X"," "))</f>
        <v xml:space="preserve"> </v>
      </c>
      <c r="S61" s="21" t="str">
        <f>IF(AND(L61-I61&gt;=Summary!$C$110,N61-K61&gt;Summary!$C$110,N61&gt;0),"X"," ")</f>
        <v xml:space="preserve"> </v>
      </c>
      <c r="T61" s="17" t="str">
        <f>IF($C$4="High Inventory",IF(AND($O61&gt;=Summary!$C$106,$P61&gt;=0%),"X"," "),IF(AND($O61&lt;=-Summary!$C$106,$P61&lt;=0%),"X"," "))</f>
        <v xml:space="preserve"> </v>
      </c>
      <c r="U61" s="21" t="str">
        <f>IF($C$4="High Inventory",IF(AND($O61&gt;=0,$P61&gt;=Summary!$C$107),"X"," "),IF(AND($O61&lt;=0,$P61&lt;=-Summary!$C$107),"X"," "))</f>
        <v xml:space="preserve"> </v>
      </c>
      <c r="V61" t="str">
        <f t="shared" si="4"/>
        <v xml:space="preserve"> </v>
      </c>
    </row>
    <row r="62" spans="1:22" x14ac:dyDescent="0.2">
      <c r="A62" s="42">
        <v>512</v>
      </c>
      <c r="B62" s="77" t="s">
        <v>17</v>
      </c>
      <c r="C62" s="10">
        <v>1308</v>
      </c>
      <c r="D62" s="5">
        <v>1493</v>
      </c>
      <c r="E62" s="5">
        <v>-185</v>
      </c>
      <c r="F62" s="10">
        <v>2648</v>
      </c>
      <c r="G62" s="5">
        <v>3270</v>
      </c>
      <c r="H62" s="5">
        <v>-622</v>
      </c>
      <c r="I62" s="10">
        <v>1452</v>
      </c>
      <c r="J62" s="5">
        <v>2246</v>
      </c>
      <c r="K62" s="5">
        <v>-794</v>
      </c>
      <c r="L62" s="10">
        <v>1452</v>
      </c>
      <c r="M62" s="5">
        <v>2248</v>
      </c>
      <c r="N62" s="5">
        <v>-796</v>
      </c>
      <c r="O62" s="10">
        <f t="shared" si="5"/>
        <v>-1601</v>
      </c>
      <c r="P62" s="97">
        <f t="shared" si="6"/>
        <v>-0.22838801711840229</v>
      </c>
      <c r="Q62" s="101" t="str">
        <f t="shared" si="2"/>
        <v xml:space="preserve"> </v>
      </c>
      <c r="R62" s="91" t="str">
        <f>IF($C$4="High Inventory",IF(AND(O62&gt;=Summary!$C$106,P62&gt;=Summary!$C$107),"X"," "),IF(AND(O62&lt;=-Summary!$C$106,P62&lt;=-Summary!$C$107),"X"," "))</f>
        <v xml:space="preserve"> </v>
      </c>
      <c r="S62" s="21" t="str">
        <f>IF(AND(L62-I62&gt;=Summary!$C$110,N62-K62&gt;Summary!$C$110,N62&gt;0),"X"," ")</f>
        <v xml:space="preserve"> </v>
      </c>
      <c r="T62" s="17" t="str">
        <f>IF($C$4="High Inventory",IF(AND($O62&gt;=Summary!$C$106,$P62&gt;=0%),"X"," "),IF(AND($O62&lt;=-Summary!$C$106,$P62&lt;=0%),"X"," "))</f>
        <v xml:space="preserve"> </v>
      </c>
      <c r="U62" s="21" t="str">
        <f>IF($C$4="High Inventory",IF(AND($O62&gt;=0,$P62&gt;=Summary!$C$107),"X"," "),IF(AND($O62&lt;=0,$P62&lt;=-Summary!$C$107),"X"," "))</f>
        <v xml:space="preserve"> </v>
      </c>
      <c r="V62" t="str">
        <f t="shared" si="4"/>
        <v xml:space="preserve"> </v>
      </c>
    </row>
    <row r="63" spans="1:22" x14ac:dyDescent="0.2">
      <c r="A63" s="42">
        <v>589</v>
      </c>
      <c r="B63" s="77" t="s">
        <v>17</v>
      </c>
      <c r="C63" s="10">
        <v>0</v>
      </c>
      <c r="D63" s="5">
        <v>81</v>
      </c>
      <c r="E63" s="5">
        <v>-81</v>
      </c>
      <c r="F63" s="10">
        <v>0</v>
      </c>
      <c r="G63" s="5">
        <v>79</v>
      </c>
      <c r="H63" s="5">
        <v>-79</v>
      </c>
      <c r="I63" s="10">
        <v>0</v>
      </c>
      <c r="J63" s="5">
        <v>59</v>
      </c>
      <c r="K63" s="5">
        <v>-59</v>
      </c>
      <c r="L63" s="10">
        <v>0</v>
      </c>
      <c r="M63" s="5">
        <v>59</v>
      </c>
      <c r="N63" s="5">
        <v>-59</v>
      </c>
      <c r="O63" s="10">
        <f t="shared" ref="O63:O85" si="7">K63+H63+E63</f>
        <v>-219</v>
      </c>
      <c r="P63" s="97">
        <f t="shared" ref="P63:P85" si="8">O63/(J63+G63+D63+1)</f>
        <v>-0.99545454545454548</v>
      </c>
      <c r="Q63" s="101" t="str">
        <f t="shared" si="2"/>
        <v xml:space="preserve"> </v>
      </c>
      <c r="R63" s="91" t="str">
        <f>IF($C$4="High Inventory",IF(AND(O63&gt;=Summary!$C$106,P63&gt;=Summary!$C$107),"X"," "),IF(AND(O63&lt;=-Summary!$C$106,P63&lt;=-Summary!$C$107),"X"," "))</f>
        <v xml:space="preserve"> </v>
      </c>
      <c r="S63" s="21" t="str">
        <f>IF(AND(L63-I63&gt;=Summary!$C$110,N63-K63&gt;Summary!$C$110,N63&gt;0),"X"," ")</f>
        <v xml:space="preserve"> </v>
      </c>
      <c r="T63" s="17" t="str">
        <f>IF($C$4="High Inventory",IF(AND($O63&gt;=Summary!$C$106,$P63&gt;=0%),"X"," "),IF(AND($O63&lt;=-Summary!$C$106,$P63&lt;=0%),"X"," "))</f>
        <v xml:space="preserve"> </v>
      </c>
      <c r="U63" s="21" t="str">
        <f>IF($C$4="High Inventory",IF(AND($O63&gt;=0,$P63&gt;=Summary!$C$107),"X"," "),IF(AND($O63&lt;=0,$P63&lt;=-Summary!$C$107),"X"," "))</f>
        <v xml:space="preserve"> </v>
      </c>
      <c r="V63" t="str">
        <f t="shared" si="4"/>
        <v xml:space="preserve"> </v>
      </c>
    </row>
    <row r="64" spans="1:22" x14ac:dyDescent="0.2">
      <c r="A64" s="42">
        <v>757</v>
      </c>
      <c r="B64" s="77" t="s">
        <v>17</v>
      </c>
      <c r="C64" s="10">
        <v>0</v>
      </c>
      <c r="D64" s="5">
        <v>533</v>
      </c>
      <c r="E64" s="5">
        <v>-533</v>
      </c>
      <c r="F64" s="10">
        <v>0</v>
      </c>
      <c r="G64" s="5">
        <v>477</v>
      </c>
      <c r="H64" s="5">
        <v>-477</v>
      </c>
      <c r="I64" s="10">
        <v>0</v>
      </c>
      <c r="J64" s="5">
        <v>479</v>
      </c>
      <c r="K64" s="5">
        <v>-479</v>
      </c>
      <c r="L64" s="10">
        <v>444</v>
      </c>
      <c r="M64" s="5">
        <v>471</v>
      </c>
      <c r="N64" s="5">
        <v>-27</v>
      </c>
      <c r="O64" s="10">
        <f>K64+H64+E64</f>
        <v>-1489</v>
      </c>
      <c r="P64" s="97">
        <f>O64/(J64+G64+D64+1)</f>
        <v>-0.9993288590604027</v>
      </c>
      <c r="Q64" s="101" t="str">
        <f t="shared" si="2"/>
        <v xml:space="preserve"> </v>
      </c>
      <c r="R64" s="91" t="str">
        <f>IF($C$4="High Inventory",IF(AND(O64&gt;=Summary!$C$106,P64&gt;=Summary!$C$107),"X"," "),IF(AND(O64&lt;=-Summary!$C$106,P64&lt;=-Summary!$C$107),"X"," "))</f>
        <v xml:space="preserve"> </v>
      </c>
      <c r="S64" s="21" t="str">
        <f>IF(AND(L64-I64&gt;=Summary!$C$110,N64-K64&gt;Summary!$C$110,N64&gt;0),"X"," ")</f>
        <v xml:space="preserve"> </v>
      </c>
      <c r="T64" s="17" t="str">
        <f>IF($C$4="High Inventory",IF(AND($O64&gt;=Summary!$C$106,$P64&gt;=0%),"X"," "),IF(AND($O64&lt;=-Summary!$C$106,$P64&lt;=0%),"X"," "))</f>
        <v xml:space="preserve"> </v>
      </c>
      <c r="U64" s="21" t="str">
        <f>IF($C$4="High Inventory",IF(AND($O64&gt;=0,$P64&gt;=Summary!$C$107),"X"," "),IF(AND($O64&lt;=0,$P64&lt;=-Summary!$C$107),"X"," "))</f>
        <v xml:space="preserve"> </v>
      </c>
      <c r="V64" t="str">
        <f t="shared" si="4"/>
        <v xml:space="preserve"> </v>
      </c>
    </row>
    <row r="65" spans="1:22" x14ac:dyDescent="0.2">
      <c r="A65" s="42">
        <v>761</v>
      </c>
      <c r="B65" s="77" t="s">
        <v>17</v>
      </c>
      <c r="C65" s="10">
        <v>0</v>
      </c>
      <c r="D65" s="5">
        <v>6</v>
      </c>
      <c r="E65" s="5">
        <v>-6</v>
      </c>
      <c r="F65" s="10">
        <v>0</v>
      </c>
      <c r="G65" s="5">
        <v>6</v>
      </c>
      <c r="H65" s="5">
        <v>-6</v>
      </c>
      <c r="I65" s="10">
        <v>0</v>
      </c>
      <c r="J65" s="5">
        <v>6</v>
      </c>
      <c r="K65" s="5">
        <v>-6</v>
      </c>
      <c r="L65" s="10">
        <v>0</v>
      </c>
      <c r="M65" s="5">
        <v>6</v>
      </c>
      <c r="N65" s="5">
        <v>-6</v>
      </c>
      <c r="O65" s="10">
        <f>K65+H65+E65</f>
        <v>-18</v>
      </c>
      <c r="P65" s="97">
        <f>O65/(J65+G65+D65+1)</f>
        <v>-0.94736842105263153</v>
      </c>
      <c r="Q65" s="101" t="str">
        <f t="shared" si="2"/>
        <v xml:space="preserve"> </v>
      </c>
      <c r="R65" s="91" t="str">
        <f>IF($C$4="High Inventory",IF(AND(O65&gt;=Summary!$C$106,P65&gt;=Summary!$C$107),"X"," "),IF(AND(O65&lt;=-Summary!$C$106,P65&lt;=-Summary!$C$107),"X"," "))</f>
        <v xml:space="preserve"> </v>
      </c>
      <c r="S65" s="21" t="str">
        <f>IF(AND(L65-I65&gt;=Summary!$C$110,N65-K65&gt;Summary!$C$110,N65&gt;0),"X"," ")</f>
        <v xml:space="preserve"> </v>
      </c>
      <c r="T65" s="17" t="str">
        <f>IF($C$4="High Inventory",IF(AND($O65&gt;=Summary!$C$106,$P65&gt;=0%),"X"," "),IF(AND($O65&lt;=-Summary!$C$106,$P65&lt;=0%),"X"," "))</f>
        <v xml:space="preserve"> </v>
      </c>
      <c r="U65" s="21" t="str">
        <f>IF($C$4="High Inventory",IF(AND($O65&gt;=0,$P65&gt;=Summary!$C$107),"X"," "),IF(AND($O65&lt;=0,$P65&lt;=-Summary!$C$107),"X"," "))</f>
        <v xml:space="preserve"> </v>
      </c>
      <c r="V65" t="str">
        <f t="shared" si="4"/>
        <v xml:space="preserve"> </v>
      </c>
    </row>
    <row r="66" spans="1:22" x14ac:dyDescent="0.2">
      <c r="A66" s="42">
        <v>764</v>
      </c>
      <c r="B66" s="77" t="s">
        <v>17</v>
      </c>
      <c r="C66" s="10">
        <v>196</v>
      </c>
      <c r="D66" s="5">
        <v>173</v>
      </c>
      <c r="E66" s="5">
        <v>23</v>
      </c>
      <c r="F66" s="10">
        <v>196</v>
      </c>
      <c r="G66" s="5">
        <v>178</v>
      </c>
      <c r="H66" s="5">
        <v>18</v>
      </c>
      <c r="I66" s="10">
        <v>196</v>
      </c>
      <c r="J66" s="5">
        <v>159</v>
      </c>
      <c r="K66" s="5">
        <v>37</v>
      </c>
      <c r="L66" s="10">
        <v>196</v>
      </c>
      <c r="M66" s="5">
        <v>162</v>
      </c>
      <c r="N66" s="5">
        <v>34</v>
      </c>
      <c r="O66" s="10">
        <f t="shared" si="7"/>
        <v>78</v>
      </c>
      <c r="P66" s="97">
        <f t="shared" si="8"/>
        <v>0.15264187866927592</v>
      </c>
      <c r="Q66" s="101" t="str">
        <f t="shared" si="2"/>
        <v xml:space="preserve"> </v>
      </c>
      <c r="R66" s="91" t="str">
        <f>IF($C$4="High Inventory",IF(AND(O66&gt;=Summary!$C$106,P66&gt;=Summary!$C$107),"X"," "),IF(AND(O66&lt;=-Summary!$C$106,P66&lt;=-Summary!$C$107),"X"," "))</f>
        <v xml:space="preserve"> </v>
      </c>
      <c r="S66" s="21" t="str">
        <f>IF(AND(L66-I66&gt;=Summary!$C$110,N66-K66&gt;Summary!$C$110,N66&gt;0),"X"," ")</f>
        <v xml:space="preserve"> </v>
      </c>
      <c r="T66" s="17" t="str">
        <f>IF($C$4="High Inventory",IF(AND($O66&gt;=Summary!$C$106,$P66&gt;=0%),"X"," "),IF(AND($O66&lt;=-Summary!$C$106,$P66&lt;=0%),"X"," "))</f>
        <v xml:space="preserve"> </v>
      </c>
      <c r="U66" s="21" t="str">
        <f>IF($C$4="High Inventory",IF(AND($O66&gt;=0,$P66&gt;=Summary!$C$107),"X"," "),IF(AND($O66&lt;=0,$P66&lt;=-Summary!$C$107),"X"," "))</f>
        <v>X</v>
      </c>
      <c r="V66" t="str">
        <f t="shared" si="4"/>
        <v xml:space="preserve"> </v>
      </c>
    </row>
    <row r="67" spans="1:22" x14ac:dyDescent="0.2">
      <c r="A67" s="42">
        <v>765</v>
      </c>
      <c r="B67" s="77" t="s">
        <v>17</v>
      </c>
      <c r="C67" s="10">
        <v>7271</v>
      </c>
      <c r="D67" s="5">
        <v>7345</v>
      </c>
      <c r="E67" s="5">
        <v>-74</v>
      </c>
      <c r="F67" s="10">
        <v>7271</v>
      </c>
      <c r="G67" s="5">
        <v>7414</v>
      </c>
      <c r="H67" s="5">
        <v>-143</v>
      </c>
      <c r="I67" s="10">
        <v>7271</v>
      </c>
      <c r="J67" s="5">
        <v>7403</v>
      </c>
      <c r="K67" s="5">
        <v>-132</v>
      </c>
      <c r="L67" s="10">
        <v>7271</v>
      </c>
      <c r="M67" s="5">
        <v>7338</v>
      </c>
      <c r="N67" s="5">
        <v>-67</v>
      </c>
      <c r="O67" s="10">
        <f t="shared" si="7"/>
        <v>-349</v>
      </c>
      <c r="P67" s="97">
        <f t="shared" si="8"/>
        <v>-1.574696566349321E-2</v>
      </c>
      <c r="Q67" s="101" t="str">
        <f t="shared" si="2"/>
        <v xml:space="preserve"> </v>
      </c>
      <c r="R67" s="91" t="str">
        <f>IF($C$4="High Inventory",IF(AND(O67&gt;=Summary!$C$106,P67&gt;=Summary!$C$107),"X"," "),IF(AND(O67&lt;=-Summary!$C$106,P67&lt;=-Summary!$C$107),"X"," "))</f>
        <v xml:space="preserve"> </v>
      </c>
      <c r="S67" s="21" t="str">
        <f>IF(AND(L67-I67&gt;=Summary!$C$110,N67-K67&gt;Summary!$C$110,N67&gt;0),"X"," ")</f>
        <v xml:space="preserve"> </v>
      </c>
      <c r="T67" s="17" t="str">
        <f>IF($C$4="High Inventory",IF(AND($O67&gt;=Summary!$C$106,$P67&gt;=0%),"X"," "),IF(AND($O67&lt;=-Summary!$C$106,$P67&lt;=0%),"X"," "))</f>
        <v xml:space="preserve"> </v>
      </c>
      <c r="U67" s="21" t="str">
        <f>IF($C$4="High Inventory",IF(AND($O67&gt;=0,$P67&gt;=Summary!$C$107),"X"," "),IF(AND($O67&lt;=0,$P67&lt;=-Summary!$C$107),"X"," "))</f>
        <v xml:space="preserve"> </v>
      </c>
      <c r="V67" t="str">
        <f t="shared" si="4"/>
        <v xml:space="preserve"> </v>
      </c>
    </row>
    <row r="68" spans="1:22" x14ac:dyDescent="0.2">
      <c r="A68" s="42">
        <v>779</v>
      </c>
      <c r="B68" s="77" t="s">
        <v>17</v>
      </c>
      <c r="C68" s="10">
        <v>800</v>
      </c>
      <c r="D68" s="5">
        <v>1336</v>
      </c>
      <c r="E68" s="5">
        <v>-536</v>
      </c>
      <c r="F68" s="10">
        <v>800</v>
      </c>
      <c r="G68" s="5">
        <v>1301</v>
      </c>
      <c r="H68" s="5">
        <v>-501</v>
      </c>
      <c r="I68" s="10">
        <v>800</v>
      </c>
      <c r="J68" s="5">
        <v>1207</v>
      </c>
      <c r="K68" s="5">
        <v>-407</v>
      </c>
      <c r="L68" s="10">
        <v>0</v>
      </c>
      <c r="M68" s="5">
        <v>0</v>
      </c>
      <c r="N68" s="5">
        <v>0</v>
      </c>
      <c r="O68" s="10">
        <f>K68+H68+E68</f>
        <v>-1444</v>
      </c>
      <c r="P68" s="97">
        <f>O68/(J68+G68+D68+1)</f>
        <v>-0.37555266579973995</v>
      </c>
      <c r="Q68" s="101" t="str">
        <f t="shared" si="2"/>
        <v xml:space="preserve"> </v>
      </c>
      <c r="R68" s="91" t="str">
        <f>IF($C$4="High Inventory",IF(AND(O68&gt;=Summary!$C$106,P68&gt;=Summary!$C$107),"X"," "),IF(AND(O68&lt;=-Summary!$C$106,P68&lt;=-Summary!$C$107),"X"," "))</f>
        <v xml:space="preserve"> </v>
      </c>
      <c r="S68" s="21" t="str">
        <f>IF(AND(L68-I68&gt;=Summary!$C$110,N68-K68&gt;Summary!$C$110,N68&gt;0),"X"," ")</f>
        <v xml:space="preserve"> </v>
      </c>
      <c r="T68" s="17" t="str">
        <f>IF($C$4="High Inventory",IF(AND($O68&gt;=Summary!$C$106,$P68&gt;=0%),"X"," "),IF(AND($O68&lt;=-Summary!$C$106,$P68&lt;=0%),"X"," "))</f>
        <v xml:space="preserve"> </v>
      </c>
      <c r="U68" s="21" t="str">
        <f>IF($C$4="High Inventory",IF(AND($O68&gt;=0,$P68&gt;=Summary!$C$107),"X"," "),IF(AND($O68&lt;=0,$P68&lt;=-Summary!$C$107),"X"," "))</f>
        <v xml:space="preserve"> </v>
      </c>
      <c r="V68" t="str">
        <f t="shared" si="4"/>
        <v xml:space="preserve"> </v>
      </c>
    </row>
    <row r="69" spans="1:22" x14ac:dyDescent="0.2">
      <c r="A69" s="42">
        <v>804</v>
      </c>
      <c r="B69" s="77" t="s">
        <v>17</v>
      </c>
      <c r="C69" s="10">
        <v>0</v>
      </c>
      <c r="D69" s="5">
        <v>177</v>
      </c>
      <c r="E69" s="5">
        <v>-177</v>
      </c>
      <c r="F69" s="10">
        <v>0</v>
      </c>
      <c r="G69" s="5">
        <v>176</v>
      </c>
      <c r="H69" s="5">
        <v>-176</v>
      </c>
      <c r="I69" s="10">
        <v>0</v>
      </c>
      <c r="J69" s="5">
        <v>172</v>
      </c>
      <c r="K69" s="5">
        <v>-172</v>
      </c>
      <c r="L69" s="10">
        <v>0</v>
      </c>
      <c r="M69" s="5">
        <v>174</v>
      </c>
      <c r="N69" s="5">
        <v>-174</v>
      </c>
      <c r="O69" s="10">
        <f t="shared" si="7"/>
        <v>-525</v>
      </c>
      <c r="P69" s="97">
        <f t="shared" si="8"/>
        <v>-0.99809885931558939</v>
      </c>
      <c r="Q69" s="101" t="str">
        <f t="shared" si="2"/>
        <v xml:space="preserve"> </v>
      </c>
      <c r="R69" s="91" t="str">
        <f>IF($C$4="High Inventory",IF(AND(O69&gt;=Summary!$C$106,P69&gt;=Summary!$C$107),"X"," "),IF(AND(O69&lt;=-Summary!$C$106,P69&lt;=-Summary!$C$107),"X"," "))</f>
        <v xml:space="preserve"> </v>
      </c>
      <c r="S69" s="21" t="str">
        <f>IF(AND(L69-I69&gt;=Summary!$C$110,N69-K69&gt;Summary!$C$110,N69&gt;0),"X"," ")</f>
        <v xml:space="preserve"> </v>
      </c>
      <c r="T69" s="17" t="str">
        <f>IF($C$4="High Inventory",IF(AND($O69&gt;=Summary!$C$106,$P69&gt;=0%),"X"," "),IF(AND($O69&lt;=-Summary!$C$106,$P69&lt;=0%),"X"," "))</f>
        <v xml:space="preserve"> </v>
      </c>
      <c r="U69" s="21" t="str">
        <f>IF($C$4="High Inventory",IF(AND($O69&gt;=0,$P69&gt;=Summary!$C$107),"X"," "),IF(AND($O69&lt;=0,$P69&lt;=-Summary!$C$107),"X"," "))</f>
        <v xml:space="preserve"> </v>
      </c>
      <c r="V69" t="str">
        <f t="shared" si="4"/>
        <v xml:space="preserve"> </v>
      </c>
    </row>
    <row r="70" spans="1:22" x14ac:dyDescent="0.2">
      <c r="A70" s="42">
        <v>899</v>
      </c>
      <c r="B70" s="77" t="s">
        <v>17</v>
      </c>
      <c r="C70" s="10">
        <v>0</v>
      </c>
      <c r="D70" s="5">
        <v>0</v>
      </c>
      <c r="E70" s="5">
        <v>0</v>
      </c>
      <c r="F70" s="10">
        <v>0</v>
      </c>
      <c r="G70" s="5">
        <v>0</v>
      </c>
      <c r="H70" s="5">
        <v>0</v>
      </c>
      <c r="I70" s="10">
        <v>0</v>
      </c>
      <c r="J70" s="5">
        <v>0</v>
      </c>
      <c r="K70" s="5">
        <v>0</v>
      </c>
      <c r="L70" s="10">
        <v>0</v>
      </c>
      <c r="M70" s="5">
        <v>0</v>
      </c>
      <c r="N70" s="5">
        <v>0</v>
      </c>
      <c r="O70" s="10">
        <f>K70+H70+E70</f>
        <v>0</v>
      </c>
      <c r="P70" s="97">
        <f>O70/(J70+G70+D70+1)</f>
        <v>0</v>
      </c>
      <c r="Q70" s="101" t="str">
        <f t="shared" si="2"/>
        <v xml:space="preserve"> </v>
      </c>
      <c r="R70" s="91" t="str">
        <f>IF($C$4="High Inventory",IF(AND(O70&gt;=Summary!$C$106,P70&gt;=Summary!$C$107),"X"," "),IF(AND(O70&lt;=-Summary!$C$106,P70&lt;=-Summary!$C$107),"X"," "))</f>
        <v xml:space="preserve"> </v>
      </c>
      <c r="S70" s="21" t="str">
        <f>IF(AND(L70-I70&gt;=Summary!$C$110,N70-K70&gt;Summary!$C$110,N70&gt;0),"X"," ")</f>
        <v xml:space="preserve"> </v>
      </c>
      <c r="T70" s="17" t="str">
        <f>IF($C$4="High Inventory",IF(AND($O70&gt;=Summary!$C$106,$P70&gt;=0%),"X"," "),IF(AND($O70&lt;=-Summary!$C$106,$P70&lt;=0%),"X"," "))</f>
        <v xml:space="preserve"> </v>
      </c>
      <c r="U70" s="21" t="str">
        <f>IF($C$4="High Inventory",IF(AND($O70&gt;=0,$P70&gt;=Summary!$C$107),"X"," "),IF(AND($O70&lt;=0,$P70&lt;=-Summary!$C$107),"X"," "))</f>
        <v xml:space="preserve"> </v>
      </c>
      <c r="V70" t="str">
        <f t="shared" si="4"/>
        <v xml:space="preserve"> </v>
      </c>
    </row>
    <row r="71" spans="1:22" x14ac:dyDescent="0.2">
      <c r="A71" s="42">
        <v>928</v>
      </c>
      <c r="B71" s="77" t="s">
        <v>17</v>
      </c>
      <c r="C71" s="10">
        <v>190</v>
      </c>
      <c r="D71" s="5">
        <v>191</v>
      </c>
      <c r="E71" s="5">
        <v>-1</v>
      </c>
      <c r="F71" s="10">
        <v>190</v>
      </c>
      <c r="G71" s="5">
        <v>188</v>
      </c>
      <c r="H71" s="5">
        <v>2</v>
      </c>
      <c r="I71" s="10">
        <v>190</v>
      </c>
      <c r="J71" s="5">
        <v>187</v>
      </c>
      <c r="K71" s="5">
        <v>3</v>
      </c>
      <c r="L71" s="10">
        <v>190</v>
      </c>
      <c r="M71" s="5">
        <v>188</v>
      </c>
      <c r="N71" s="5">
        <v>2</v>
      </c>
      <c r="O71" s="10">
        <f>K71+H71+E71</f>
        <v>4</v>
      </c>
      <c r="P71" s="97">
        <f>O71/(J71+G71+D71+1)</f>
        <v>7.0546737213403876E-3</v>
      </c>
      <c r="Q71" s="101" t="str">
        <f t="shared" si="2"/>
        <v xml:space="preserve"> </v>
      </c>
      <c r="R71" s="91" t="str">
        <f>IF($C$4="High Inventory",IF(AND(O71&gt;=Summary!$C$106,P71&gt;=Summary!$C$107),"X"," "),IF(AND(O71&lt;=-Summary!$C$106,P71&lt;=-Summary!$C$107),"X"," "))</f>
        <v xml:space="preserve"> </v>
      </c>
      <c r="S71" s="21" t="str">
        <f>IF(AND(L71-I71&gt;=Summary!$C$110,N71-K71&gt;Summary!$C$110,N71&gt;0),"X"," ")</f>
        <v xml:space="preserve"> </v>
      </c>
      <c r="T71" s="17" t="str">
        <f>IF($C$4="High Inventory",IF(AND($O71&gt;=Summary!$C$106,$P71&gt;=0%),"X"," "),IF(AND($O71&lt;=-Summary!$C$106,$P71&lt;=0%),"X"," "))</f>
        <v xml:space="preserve"> </v>
      </c>
      <c r="U71" s="21" t="str">
        <f>IF($C$4="High Inventory",IF(AND($O71&gt;=0,$P71&gt;=Summary!$C$107),"X"," "),IF(AND($O71&lt;=0,$P71&lt;=-Summary!$C$107),"X"," "))</f>
        <v xml:space="preserve"> </v>
      </c>
      <c r="V71" t="str">
        <f t="shared" si="4"/>
        <v xml:space="preserve"> </v>
      </c>
    </row>
    <row r="72" spans="1:22" x14ac:dyDescent="0.2">
      <c r="A72" s="42">
        <v>997</v>
      </c>
      <c r="B72" s="77" t="s">
        <v>17</v>
      </c>
      <c r="C72" s="10">
        <v>0</v>
      </c>
      <c r="D72" s="5">
        <v>0</v>
      </c>
      <c r="E72" s="5">
        <v>0</v>
      </c>
      <c r="F72" s="10">
        <v>0</v>
      </c>
      <c r="G72" s="5">
        <v>0</v>
      </c>
      <c r="H72" s="5">
        <v>0</v>
      </c>
      <c r="I72" s="10">
        <v>0</v>
      </c>
      <c r="J72" s="5">
        <v>0</v>
      </c>
      <c r="K72" s="5">
        <v>0</v>
      </c>
      <c r="L72" s="10">
        <v>0</v>
      </c>
      <c r="M72" s="5">
        <v>0</v>
      </c>
      <c r="N72" s="5">
        <v>0</v>
      </c>
      <c r="O72" s="10">
        <f t="shared" si="7"/>
        <v>0</v>
      </c>
      <c r="P72" s="97">
        <f t="shared" si="8"/>
        <v>0</v>
      </c>
      <c r="Q72" s="101" t="str">
        <f t="shared" si="2"/>
        <v xml:space="preserve"> </v>
      </c>
      <c r="R72" s="91" t="str">
        <f>IF($C$4="High Inventory",IF(AND(O72&gt;=Summary!$C$106,P72&gt;=Summary!$C$107),"X"," "),IF(AND(O72&lt;=-Summary!$C$106,P72&lt;=-Summary!$C$107),"X"," "))</f>
        <v xml:space="preserve"> </v>
      </c>
      <c r="S72" s="21" t="str">
        <f>IF(AND(L72-I72&gt;=Summary!$C$110,N72-K72&gt;Summary!$C$110,N72&gt;0),"X"," ")</f>
        <v xml:space="preserve"> </v>
      </c>
      <c r="T72" s="17" t="str">
        <f>IF($C$4="High Inventory",IF(AND($O72&gt;=Summary!$C$106,$P72&gt;=0%),"X"," "),IF(AND($O72&lt;=-Summary!$C$106,$P72&lt;=0%),"X"," "))</f>
        <v xml:space="preserve"> </v>
      </c>
      <c r="U72" s="21" t="str">
        <f>IF($C$4="High Inventory",IF(AND($O72&gt;=0,$P72&gt;=Summary!$C$107),"X"," "),IF(AND($O72&lt;=0,$P72&lt;=-Summary!$C$107),"X"," "))</f>
        <v xml:space="preserve"> </v>
      </c>
      <c r="V72" t="str">
        <f t="shared" si="4"/>
        <v xml:space="preserve"> </v>
      </c>
    </row>
    <row r="73" spans="1:22" x14ac:dyDescent="0.2">
      <c r="A73" s="42">
        <v>5342</v>
      </c>
      <c r="B73" s="77" t="s">
        <v>17</v>
      </c>
      <c r="C73" s="10">
        <v>0</v>
      </c>
      <c r="D73" s="5">
        <v>0</v>
      </c>
      <c r="E73" s="5">
        <v>0</v>
      </c>
      <c r="F73" s="10">
        <v>0</v>
      </c>
      <c r="G73" s="5">
        <v>0</v>
      </c>
      <c r="H73" s="5">
        <v>0</v>
      </c>
      <c r="I73" s="10">
        <v>0</v>
      </c>
      <c r="J73" s="5">
        <v>0</v>
      </c>
      <c r="K73" s="5">
        <v>0</v>
      </c>
      <c r="L73" s="10">
        <v>0</v>
      </c>
      <c r="M73" s="5">
        <v>0</v>
      </c>
      <c r="N73" s="5">
        <v>0</v>
      </c>
      <c r="O73" s="10">
        <f>K73+H73+E73</f>
        <v>0</v>
      </c>
      <c r="P73" s="97">
        <f>O73/(J73+G73+D73+1)</f>
        <v>0</v>
      </c>
      <c r="Q73" s="101" t="str">
        <f t="shared" si="2"/>
        <v xml:space="preserve"> </v>
      </c>
      <c r="R73" s="91" t="str">
        <f>IF($C$4="High Inventory",IF(AND(O73&gt;=Summary!$C$106,P73&gt;=Summary!$C$107),"X"," "),IF(AND(O73&lt;=-Summary!$C$106,P73&lt;=-Summary!$C$107),"X"," "))</f>
        <v xml:space="preserve"> </v>
      </c>
      <c r="S73" s="21" t="str">
        <f>IF(AND(L73-I73&gt;=Summary!$C$110,N73-K73&gt;Summary!$C$110,N73&gt;0),"X"," ")</f>
        <v xml:space="preserve"> </v>
      </c>
      <c r="T73" s="17" t="str">
        <f>IF($C$4="High Inventory",IF(AND($O73&gt;=Summary!$C$106,$P73&gt;=0%),"X"," "),IF(AND($O73&lt;=-Summary!$C$106,$P73&lt;=0%),"X"," "))</f>
        <v xml:space="preserve"> </v>
      </c>
      <c r="U73" s="21" t="str">
        <f>IF($C$4="High Inventory",IF(AND($O73&gt;=0,$P73&gt;=Summary!$C$107),"X"," "),IF(AND($O73&lt;=0,$P73&lt;=-Summary!$C$107),"X"," "))</f>
        <v xml:space="preserve"> </v>
      </c>
      <c r="V73" t="str">
        <f t="shared" si="4"/>
        <v xml:space="preserve"> </v>
      </c>
    </row>
    <row r="74" spans="1:22" x14ac:dyDescent="0.2">
      <c r="A74" s="42">
        <v>5379</v>
      </c>
      <c r="B74" s="77" t="s">
        <v>17</v>
      </c>
      <c r="C74" s="10">
        <v>0</v>
      </c>
      <c r="D74" s="5">
        <v>0</v>
      </c>
      <c r="E74" s="5">
        <v>0</v>
      </c>
      <c r="F74" s="10">
        <v>0</v>
      </c>
      <c r="G74" s="5">
        <v>0</v>
      </c>
      <c r="H74" s="5">
        <v>0</v>
      </c>
      <c r="I74" s="10">
        <v>0</v>
      </c>
      <c r="J74" s="5">
        <v>0</v>
      </c>
      <c r="K74" s="5">
        <v>0</v>
      </c>
      <c r="L74" s="10">
        <v>0</v>
      </c>
      <c r="M74" s="5">
        <v>0</v>
      </c>
      <c r="N74" s="5">
        <v>0</v>
      </c>
      <c r="O74" s="10">
        <f>K74+H74+E74</f>
        <v>0</v>
      </c>
      <c r="P74" s="97">
        <f>O74/(J74+G74+D74+1)</f>
        <v>0</v>
      </c>
      <c r="Q74" s="101" t="str">
        <f t="shared" ref="Q74:Q87" si="9">" "</f>
        <v xml:space="preserve"> </v>
      </c>
      <c r="R74" s="91" t="str">
        <f>IF($C$4="High Inventory",IF(AND(O74&gt;=Summary!$C$106,P74&gt;=Summary!$C$107),"X"," "),IF(AND(O74&lt;=-Summary!$C$106,P74&lt;=-Summary!$C$107),"X"," "))</f>
        <v xml:space="preserve"> </v>
      </c>
      <c r="S74" s="21" t="str">
        <f>IF(AND(L74-I74&gt;=Summary!$C$110,N74-K74&gt;Summary!$C$110,N74&gt;0),"X"," ")</f>
        <v xml:space="preserve"> </v>
      </c>
      <c r="T74" s="17" t="str">
        <f>IF($C$4="High Inventory",IF(AND($O74&gt;=Summary!$C$106,$P74&gt;=0%),"X"," "),IF(AND($O74&lt;=-Summary!$C$106,$P74&lt;=0%),"X"," "))</f>
        <v xml:space="preserve"> </v>
      </c>
      <c r="U74" s="21" t="str">
        <f>IF($C$4="High Inventory",IF(AND($O74&gt;=0,$P74&gt;=Summary!$C$107),"X"," "),IF(AND($O74&lt;=0,$P74&lt;=-Summary!$C$107),"X"," "))</f>
        <v xml:space="preserve"> </v>
      </c>
      <c r="V74" t="str">
        <f t="shared" ref="V74:V87" si="10">IF(S74 = "X",L74-I74," ")</f>
        <v xml:space="preserve"> </v>
      </c>
    </row>
    <row r="75" spans="1:22" x14ac:dyDescent="0.2">
      <c r="A75" s="42">
        <v>7088</v>
      </c>
      <c r="B75" s="77" t="s">
        <v>17</v>
      </c>
      <c r="C75" s="10">
        <v>0</v>
      </c>
      <c r="D75" s="5">
        <v>18</v>
      </c>
      <c r="E75" s="5">
        <v>-18</v>
      </c>
      <c r="F75" s="10">
        <v>0</v>
      </c>
      <c r="G75" s="5">
        <v>11</v>
      </c>
      <c r="H75" s="5">
        <v>-11</v>
      </c>
      <c r="I75" s="10">
        <v>0</v>
      </c>
      <c r="J75" s="5">
        <v>8</v>
      </c>
      <c r="K75" s="5">
        <v>-8</v>
      </c>
      <c r="L75" s="10">
        <v>0</v>
      </c>
      <c r="M75" s="5">
        <v>6</v>
      </c>
      <c r="N75" s="5">
        <v>-6</v>
      </c>
      <c r="O75" s="10">
        <f t="shared" si="7"/>
        <v>-37</v>
      </c>
      <c r="P75" s="97">
        <f t="shared" si="8"/>
        <v>-0.97368421052631582</v>
      </c>
      <c r="Q75" s="101" t="str">
        <f t="shared" si="9"/>
        <v xml:space="preserve"> </v>
      </c>
      <c r="R75" s="91" t="str">
        <f>IF($C$4="High Inventory",IF(AND(O75&gt;=Summary!$C$106,P75&gt;=Summary!$C$107),"X"," "),IF(AND(O75&lt;=-Summary!$C$106,P75&lt;=-Summary!$C$107),"X"," "))</f>
        <v xml:space="preserve"> </v>
      </c>
      <c r="S75" s="21" t="str">
        <f>IF(AND(L75-I75&gt;=Summary!$C$110,N75-K75&gt;Summary!$C$110,N75&gt;0),"X"," ")</f>
        <v xml:space="preserve"> </v>
      </c>
      <c r="T75" s="17" t="str">
        <f>IF($C$4="High Inventory",IF(AND($O75&gt;=Summary!$C$106,$P75&gt;=0%),"X"," "),IF(AND($O75&lt;=-Summary!$C$106,$P75&lt;=0%),"X"," "))</f>
        <v xml:space="preserve"> </v>
      </c>
      <c r="U75" s="21" t="str">
        <f>IF($C$4="High Inventory",IF(AND($O75&gt;=0,$P75&gt;=Summary!$C$107),"X"," "),IF(AND($O75&lt;=0,$P75&lt;=-Summary!$C$107),"X"," "))</f>
        <v xml:space="preserve"> </v>
      </c>
      <c r="V75" t="str">
        <f t="shared" si="10"/>
        <v xml:space="preserve"> </v>
      </c>
    </row>
    <row r="76" spans="1:22" x14ac:dyDescent="0.2">
      <c r="A76" s="42">
        <v>7602</v>
      </c>
      <c r="B76" s="77" t="s">
        <v>17</v>
      </c>
      <c r="C76" s="10">
        <v>29358</v>
      </c>
      <c r="D76" s="5">
        <v>44776</v>
      </c>
      <c r="E76" s="5">
        <v>-15418</v>
      </c>
      <c r="F76" s="10">
        <v>34422</v>
      </c>
      <c r="G76" s="5">
        <v>41423</v>
      </c>
      <c r="H76" s="5">
        <v>-7001</v>
      </c>
      <c r="I76" s="10">
        <v>34763</v>
      </c>
      <c r="J76" s="5">
        <v>37929</v>
      </c>
      <c r="K76" s="5">
        <v>-3166</v>
      </c>
      <c r="L76" s="10">
        <v>34763</v>
      </c>
      <c r="M76" s="5">
        <v>37184</v>
      </c>
      <c r="N76" s="5">
        <v>-2421</v>
      </c>
      <c r="O76" s="10">
        <f t="shared" si="7"/>
        <v>-25585</v>
      </c>
      <c r="P76" s="97">
        <f t="shared" si="8"/>
        <v>-0.20611621780566991</v>
      </c>
      <c r="Q76" s="101" t="str">
        <f t="shared" si="9"/>
        <v xml:space="preserve"> </v>
      </c>
      <c r="R76" s="91" t="str">
        <f>IF($C$4="High Inventory",IF(AND(O76&gt;=Summary!$C$106,P76&gt;=Summary!$C$107),"X"," "),IF(AND(O76&lt;=-Summary!$C$106,P76&lt;=-Summary!$C$107),"X"," "))</f>
        <v xml:space="preserve"> </v>
      </c>
      <c r="S76" s="21" t="str">
        <f>IF(AND(L76-I76&gt;=Summary!$C$110,N76-K76&gt;Summary!$C$110,N76&gt;0),"X"," ")</f>
        <v xml:space="preserve"> </v>
      </c>
      <c r="T76" s="17" t="str">
        <f>IF($C$4="High Inventory",IF(AND($O76&gt;=Summary!$C$106,$P76&gt;=0%),"X"," "),IF(AND($O76&lt;=-Summary!$C$106,$P76&lt;=0%),"X"," "))</f>
        <v xml:space="preserve"> </v>
      </c>
      <c r="U76" s="21" t="str">
        <f>IF($C$4="High Inventory",IF(AND($O76&gt;=0,$P76&gt;=Summary!$C$107),"X"," "),IF(AND($O76&lt;=0,$P76&lt;=-Summary!$C$107),"X"," "))</f>
        <v xml:space="preserve"> </v>
      </c>
      <c r="V76" t="str">
        <f t="shared" si="10"/>
        <v xml:space="preserve"> </v>
      </c>
    </row>
    <row r="77" spans="1:22" x14ac:dyDescent="0.2">
      <c r="A77" s="42">
        <v>7604</v>
      </c>
      <c r="B77" s="77" t="s">
        <v>17</v>
      </c>
      <c r="C77" s="10">
        <v>80361</v>
      </c>
      <c r="D77" s="5">
        <v>65121</v>
      </c>
      <c r="E77" s="5">
        <v>15240</v>
      </c>
      <c r="F77" s="10">
        <v>79360</v>
      </c>
      <c r="G77" s="5">
        <v>61044</v>
      </c>
      <c r="H77" s="5">
        <v>18316</v>
      </c>
      <c r="I77" s="10">
        <v>69522</v>
      </c>
      <c r="J77" s="5">
        <v>59541</v>
      </c>
      <c r="K77" s="5">
        <v>9981</v>
      </c>
      <c r="L77" s="10">
        <v>68721</v>
      </c>
      <c r="M77" s="5">
        <v>58103</v>
      </c>
      <c r="N77" s="5">
        <v>10618</v>
      </c>
      <c r="O77" s="10">
        <f t="shared" si="7"/>
        <v>43537</v>
      </c>
      <c r="P77" s="97">
        <f t="shared" si="8"/>
        <v>0.23443919723004517</v>
      </c>
      <c r="Q77" s="101" t="str">
        <f t="shared" si="9"/>
        <v xml:space="preserve"> </v>
      </c>
      <c r="R77" s="91" t="str">
        <f>IF($C$4="High Inventory",IF(AND(O77&gt;=Summary!$C$106,P77&gt;=Summary!$C$107),"X"," "),IF(AND(O77&lt;=-Summary!$C$106,P77&lt;=-Summary!$C$107),"X"," "))</f>
        <v>X</v>
      </c>
      <c r="S77" s="21" t="str">
        <f>IF(AND(L77-I77&gt;=Summary!$C$110,N77-K77&gt;Summary!$C$110,N77&gt;0),"X"," ")</f>
        <v xml:space="preserve"> </v>
      </c>
      <c r="T77" s="17" t="str">
        <f>IF($C$4="High Inventory",IF(AND($O77&gt;=Summary!$C$106,$P77&gt;=0%),"X"," "),IF(AND($O77&lt;=-Summary!$C$106,$P77&lt;=0%),"X"," "))</f>
        <v>X</v>
      </c>
      <c r="U77" s="21" t="str">
        <f>IF($C$4="High Inventory",IF(AND($O77&gt;=0,$P77&gt;=Summary!$C$107),"X"," "),IF(AND($O77&lt;=0,$P77&lt;=-Summary!$C$107),"X"," "))</f>
        <v>X</v>
      </c>
      <c r="V77" t="str">
        <f t="shared" si="10"/>
        <v xml:space="preserve"> </v>
      </c>
    </row>
    <row r="78" spans="1:22" x14ac:dyDescent="0.2">
      <c r="A78" s="42">
        <v>8576</v>
      </c>
      <c r="B78" s="77" t="s">
        <v>17</v>
      </c>
      <c r="C78" s="10">
        <v>0</v>
      </c>
      <c r="D78" s="5">
        <v>0</v>
      </c>
      <c r="E78" s="5">
        <v>0</v>
      </c>
      <c r="F78" s="10">
        <v>0</v>
      </c>
      <c r="G78" s="5">
        <v>0</v>
      </c>
      <c r="H78" s="5">
        <v>0</v>
      </c>
      <c r="I78" s="10">
        <v>0</v>
      </c>
      <c r="J78" s="5">
        <v>0</v>
      </c>
      <c r="K78" s="5">
        <v>0</v>
      </c>
      <c r="L78" s="10">
        <v>0</v>
      </c>
      <c r="M78" s="5">
        <v>0</v>
      </c>
      <c r="N78" s="5">
        <v>0</v>
      </c>
      <c r="O78" s="10">
        <f>K78+H78+E78</f>
        <v>0</v>
      </c>
      <c r="P78" s="97">
        <f>O78/(J78+G78+D78+1)</f>
        <v>0</v>
      </c>
      <c r="Q78" s="101" t="str">
        <f t="shared" si="9"/>
        <v xml:space="preserve"> </v>
      </c>
      <c r="R78" s="91" t="str">
        <f>IF($C$4="High Inventory",IF(AND(O78&gt;=Summary!$C$106,P78&gt;=Summary!$C$107),"X"," "),IF(AND(O78&lt;=-Summary!$C$106,P78&lt;=-Summary!$C$107),"X"," "))</f>
        <v xml:space="preserve"> </v>
      </c>
      <c r="S78" s="21" t="str">
        <f>IF(AND(L78-I78&gt;=Summary!$C$110,N78-K78&gt;Summary!$C$110,N78&gt;0),"X"," ")</f>
        <v xml:space="preserve"> </v>
      </c>
      <c r="T78" s="17" t="str">
        <f>IF($C$4="High Inventory",IF(AND($O78&gt;=Summary!$C$106,$P78&gt;=0%),"X"," "),IF(AND($O78&lt;=-Summary!$C$106,$P78&lt;=0%),"X"," "))</f>
        <v xml:space="preserve"> </v>
      </c>
      <c r="U78" s="21" t="str">
        <f>IF($C$4="High Inventory",IF(AND($O78&gt;=0,$P78&gt;=Summary!$C$107),"X"," "),IF(AND($O78&lt;=0,$P78&lt;=-Summary!$C$107),"X"," "))</f>
        <v xml:space="preserve"> </v>
      </c>
      <c r="V78" t="str">
        <f t="shared" si="10"/>
        <v xml:space="preserve"> </v>
      </c>
    </row>
    <row r="79" spans="1:22" x14ac:dyDescent="0.2">
      <c r="A79" s="42">
        <v>8577</v>
      </c>
      <c r="B79" s="77" t="s">
        <v>17</v>
      </c>
      <c r="C79" s="10">
        <v>0</v>
      </c>
      <c r="D79" s="5">
        <v>0</v>
      </c>
      <c r="E79" s="5">
        <v>0</v>
      </c>
      <c r="F79" s="10">
        <v>0</v>
      </c>
      <c r="G79" s="5">
        <v>0</v>
      </c>
      <c r="H79" s="5">
        <v>0</v>
      </c>
      <c r="I79" s="10">
        <v>0</v>
      </c>
      <c r="J79" s="5">
        <v>0</v>
      </c>
      <c r="K79" s="5">
        <v>0</v>
      </c>
      <c r="L79" s="10">
        <v>0</v>
      </c>
      <c r="M79" s="5">
        <v>0</v>
      </c>
      <c r="N79" s="5">
        <v>0</v>
      </c>
      <c r="O79" s="10">
        <f t="shared" si="7"/>
        <v>0</v>
      </c>
      <c r="P79" s="97">
        <f t="shared" si="8"/>
        <v>0</v>
      </c>
      <c r="Q79" s="101" t="str">
        <f t="shared" si="9"/>
        <v xml:space="preserve"> </v>
      </c>
      <c r="R79" s="91" t="str">
        <f>IF($C$4="High Inventory",IF(AND(O79&gt;=Summary!$C$106,P79&gt;=Summary!$C$107),"X"," "),IF(AND(O79&lt;=-Summary!$C$106,P79&lt;=-Summary!$C$107),"X"," "))</f>
        <v xml:space="preserve"> </v>
      </c>
      <c r="S79" s="21" t="str">
        <f>IF(AND(L79-I79&gt;=Summary!$C$110,N79-K79&gt;Summary!$C$110,N79&gt;0),"X"," ")</f>
        <v xml:space="preserve"> </v>
      </c>
      <c r="T79" s="17" t="str">
        <f>IF($C$4="High Inventory",IF(AND($O79&gt;=Summary!$C$106,$P79&gt;=0%),"X"," "),IF(AND($O79&lt;=-Summary!$C$106,$P79&lt;=0%),"X"," "))</f>
        <v xml:space="preserve"> </v>
      </c>
      <c r="U79" s="21" t="str">
        <f>IF($C$4="High Inventory",IF(AND($O79&gt;=0,$P79&gt;=Summary!$C$107),"X"," "),IF(AND($O79&lt;=0,$P79&lt;=-Summary!$C$107),"X"," "))</f>
        <v xml:space="preserve"> </v>
      </c>
      <c r="V79" t="str">
        <f t="shared" si="10"/>
        <v xml:space="preserve"> </v>
      </c>
    </row>
    <row r="80" spans="1:22" x14ac:dyDescent="0.2">
      <c r="A80" s="42">
        <v>8578</v>
      </c>
      <c r="B80" s="77" t="s">
        <v>17</v>
      </c>
      <c r="C80" s="10">
        <v>0</v>
      </c>
      <c r="D80" s="5">
        <v>0</v>
      </c>
      <c r="E80" s="5">
        <v>0</v>
      </c>
      <c r="F80" s="10">
        <v>0</v>
      </c>
      <c r="G80" s="5">
        <v>0</v>
      </c>
      <c r="H80" s="5">
        <v>0</v>
      </c>
      <c r="I80" s="10">
        <v>0</v>
      </c>
      <c r="J80" s="5">
        <v>0</v>
      </c>
      <c r="K80" s="5">
        <v>0</v>
      </c>
      <c r="L80" s="10">
        <v>0</v>
      </c>
      <c r="M80" s="5">
        <v>0</v>
      </c>
      <c r="N80" s="5">
        <v>0</v>
      </c>
      <c r="O80" s="10">
        <f t="shared" si="7"/>
        <v>0</v>
      </c>
      <c r="P80" s="97">
        <f t="shared" si="8"/>
        <v>0</v>
      </c>
      <c r="Q80" s="101" t="str">
        <f t="shared" si="9"/>
        <v xml:space="preserve"> </v>
      </c>
      <c r="R80" s="91" t="str">
        <f>IF($C$4="High Inventory",IF(AND(O80&gt;=Summary!$C$106,P80&gt;=Summary!$C$107),"X"," "),IF(AND(O80&lt;=-Summary!$C$106,P80&lt;=-Summary!$C$107),"X"," "))</f>
        <v xml:space="preserve"> </v>
      </c>
      <c r="S80" s="21" t="str">
        <f>IF(AND(L80-I80&gt;=Summary!$C$110,N80-K80&gt;Summary!$C$110,N80&gt;0),"X"," ")</f>
        <v xml:space="preserve"> </v>
      </c>
      <c r="T80" s="17" t="str">
        <f>IF($C$4="High Inventory",IF(AND($O80&gt;=Summary!$C$106,$P80&gt;=0%),"X"," "),IF(AND($O80&lt;=-Summary!$C$106,$P80&lt;=0%),"X"," "))</f>
        <v xml:space="preserve"> </v>
      </c>
      <c r="U80" s="21" t="str">
        <f>IF($C$4="High Inventory",IF(AND($O80&gt;=0,$P80&gt;=Summary!$C$107),"X"," "),IF(AND($O80&lt;=0,$P80&lt;=-Summary!$C$107),"X"," "))</f>
        <v xml:space="preserve"> </v>
      </c>
      <c r="V80" t="str">
        <f t="shared" si="10"/>
        <v xml:space="preserve"> </v>
      </c>
    </row>
    <row r="81" spans="1:22" x14ac:dyDescent="0.2">
      <c r="A81" s="42">
        <v>8579</v>
      </c>
      <c r="B81" s="77" t="s">
        <v>17</v>
      </c>
      <c r="C81" s="10">
        <v>0</v>
      </c>
      <c r="D81" s="5">
        <v>0</v>
      </c>
      <c r="E81" s="5">
        <v>0</v>
      </c>
      <c r="F81" s="10">
        <v>0</v>
      </c>
      <c r="G81" s="5">
        <v>0</v>
      </c>
      <c r="H81" s="5">
        <v>0</v>
      </c>
      <c r="I81" s="10">
        <v>0</v>
      </c>
      <c r="J81" s="5">
        <v>0</v>
      </c>
      <c r="K81" s="5">
        <v>0</v>
      </c>
      <c r="L81" s="10">
        <v>0</v>
      </c>
      <c r="M81" s="5">
        <v>0</v>
      </c>
      <c r="N81" s="5">
        <v>0</v>
      </c>
      <c r="O81" s="10">
        <f t="shared" si="7"/>
        <v>0</v>
      </c>
      <c r="P81" s="97">
        <f t="shared" si="8"/>
        <v>0</v>
      </c>
      <c r="Q81" s="101" t="str">
        <f t="shared" si="9"/>
        <v xml:space="preserve"> </v>
      </c>
      <c r="R81" s="91" t="str">
        <f>IF($C$4="High Inventory",IF(AND(O81&gt;=Summary!$C$106,P81&gt;=Summary!$C$107),"X"," "),IF(AND(O81&lt;=-Summary!$C$106,P81&lt;=-Summary!$C$107),"X"," "))</f>
        <v xml:space="preserve"> </v>
      </c>
      <c r="S81" s="21" t="str">
        <f>IF(AND(L81-I81&gt;=Summary!$C$110,N81-K81&gt;Summary!$C$110,N81&gt;0),"X"," ")</f>
        <v xml:space="preserve"> </v>
      </c>
      <c r="T81" s="17" t="str">
        <f>IF($C$4="High Inventory",IF(AND($O81&gt;=Summary!$C$106,$P81&gt;=0%),"X"," "),IF(AND($O81&lt;=-Summary!$C$106,$P81&lt;=0%),"X"," "))</f>
        <v xml:space="preserve"> </v>
      </c>
      <c r="U81" s="21" t="str">
        <f>IF($C$4="High Inventory",IF(AND($O81&gt;=0,$P81&gt;=Summary!$C$107),"X"," "),IF(AND($O81&lt;=0,$P81&lt;=-Summary!$C$107),"X"," "))</f>
        <v xml:space="preserve"> </v>
      </c>
      <c r="V81" t="str">
        <f t="shared" si="10"/>
        <v xml:space="preserve"> </v>
      </c>
    </row>
    <row r="82" spans="1:22" x14ac:dyDescent="0.2">
      <c r="A82" s="42">
        <v>8580</v>
      </c>
      <c r="B82" s="77" t="s">
        <v>17</v>
      </c>
      <c r="C82" s="10">
        <v>0</v>
      </c>
      <c r="D82" s="5">
        <v>0</v>
      </c>
      <c r="E82" s="5">
        <v>0</v>
      </c>
      <c r="F82" s="10">
        <v>0</v>
      </c>
      <c r="G82" s="5">
        <v>0</v>
      </c>
      <c r="H82" s="5">
        <v>0</v>
      </c>
      <c r="I82" s="10">
        <v>0</v>
      </c>
      <c r="J82" s="5">
        <v>0</v>
      </c>
      <c r="K82" s="5">
        <v>0</v>
      </c>
      <c r="L82" s="10">
        <v>0</v>
      </c>
      <c r="M82" s="5">
        <v>0</v>
      </c>
      <c r="N82" s="5">
        <v>0</v>
      </c>
      <c r="O82" s="10">
        <f t="shared" si="7"/>
        <v>0</v>
      </c>
      <c r="P82" s="97">
        <f t="shared" si="8"/>
        <v>0</v>
      </c>
      <c r="Q82" s="101" t="str">
        <f t="shared" si="9"/>
        <v xml:space="preserve"> </v>
      </c>
      <c r="R82" s="91" t="str">
        <f>IF($C$4="High Inventory",IF(AND(O82&gt;=Summary!$C$106,P82&gt;=Summary!$C$107),"X"," "),IF(AND(O82&lt;=-Summary!$C$106,P82&lt;=-Summary!$C$107),"X"," "))</f>
        <v xml:space="preserve"> </v>
      </c>
      <c r="S82" s="21" t="str">
        <f>IF(AND(L82-I82&gt;=Summary!$C$110,N82-K82&gt;Summary!$C$110,N82&gt;0),"X"," ")</f>
        <v xml:space="preserve"> </v>
      </c>
      <c r="T82" s="17" t="str">
        <f>IF($C$4="High Inventory",IF(AND($O82&gt;=Summary!$C$106,$P82&gt;=0%),"X"," "),IF(AND($O82&lt;=-Summary!$C$106,$P82&lt;=0%),"X"," "))</f>
        <v xml:space="preserve"> </v>
      </c>
      <c r="U82" s="21" t="str">
        <f>IF($C$4="High Inventory",IF(AND($O82&gt;=0,$P82&gt;=Summary!$C$107),"X"," "),IF(AND($O82&lt;=0,$P82&lt;=-Summary!$C$107),"X"," "))</f>
        <v xml:space="preserve"> </v>
      </c>
      <c r="V82" t="str">
        <f t="shared" si="10"/>
        <v xml:space="preserve"> </v>
      </c>
    </row>
    <row r="83" spans="1:22" x14ac:dyDescent="0.2">
      <c r="A83" s="42">
        <v>13636</v>
      </c>
      <c r="B83" s="77" t="s">
        <v>17</v>
      </c>
      <c r="C83" s="10">
        <v>0</v>
      </c>
      <c r="D83" s="5">
        <v>0</v>
      </c>
      <c r="E83" s="5">
        <v>0</v>
      </c>
      <c r="F83" s="10">
        <v>0</v>
      </c>
      <c r="G83" s="5">
        <v>0</v>
      </c>
      <c r="H83" s="5">
        <v>0</v>
      </c>
      <c r="I83" s="10">
        <v>0</v>
      </c>
      <c r="J83" s="5">
        <v>0</v>
      </c>
      <c r="K83" s="5">
        <v>0</v>
      </c>
      <c r="L83" s="10">
        <v>0</v>
      </c>
      <c r="M83" s="5">
        <v>0</v>
      </c>
      <c r="N83" s="5">
        <v>0</v>
      </c>
      <c r="O83" s="10">
        <f>K83+H83+E83</f>
        <v>0</v>
      </c>
      <c r="P83" s="97">
        <f>O83/(J83+G83+D83+1)</f>
        <v>0</v>
      </c>
      <c r="Q83" s="101" t="str">
        <f t="shared" si="9"/>
        <v xml:space="preserve"> </v>
      </c>
      <c r="R83" s="91" t="str">
        <f>IF($C$4="High Inventory",IF(AND(O83&gt;=Summary!$C$106,P83&gt;=Summary!$C$107),"X"," "),IF(AND(O83&lt;=-Summary!$C$106,P83&lt;=-Summary!$C$107),"X"," "))</f>
        <v xml:space="preserve"> </v>
      </c>
      <c r="S83" s="21" t="str">
        <f>IF(AND(L83-I83&gt;=Summary!$C$110,N83-K83&gt;Summary!$C$110,N83&gt;0),"X"," ")</f>
        <v xml:space="preserve"> </v>
      </c>
      <c r="T83" s="17" t="str">
        <f>IF($C$4="High Inventory",IF(AND($O83&gt;=Summary!$C$106,$P83&gt;=0%),"X"," "),IF(AND($O83&lt;=-Summary!$C$106,$P83&lt;=0%),"X"," "))</f>
        <v xml:space="preserve"> </v>
      </c>
      <c r="U83" s="21" t="str">
        <f>IF($C$4="High Inventory",IF(AND($O83&gt;=0,$P83&gt;=Summary!$C$107),"X"," "),IF(AND($O83&lt;=0,$P83&lt;=-Summary!$C$107),"X"," "))</f>
        <v xml:space="preserve"> </v>
      </c>
      <c r="V83" t="str">
        <f t="shared" si="10"/>
        <v xml:space="preserve"> </v>
      </c>
    </row>
    <row r="84" spans="1:22" x14ac:dyDescent="0.2">
      <c r="A84" s="42">
        <v>18287</v>
      </c>
      <c r="B84" s="77" t="s">
        <v>17</v>
      </c>
      <c r="C84" s="10">
        <v>0</v>
      </c>
      <c r="D84" s="5">
        <v>0</v>
      </c>
      <c r="E84" s="5">
        <v>0</v>
      </c>
      <c r="F84" s="10">
        <v>0</v>
      </c>
      <c r="G84" s="5">
        <v>0</v>
      </c>
      <c r="H84" s="5">
        <v>0</v>
      </c>
      <c r="I84" s="10">
        <v>0</v>
      </c>
      <c r="J84" s="5">
        <v>0</v>
      </c>
      <c r="K84" s="5">
        <v>0</v>
      </c>
      <c r="L84" s="10">
        <v>0</v>
      </c>
      <c r="M84" s="5">
        <v>0</v>
      </c>
      <c r="N84" s="5">
        <v>0</v>
      </c>
      <c r="O84" s="10">
        <f t="shared" si="7"/>
        <v>0</v>
      </c>
      <c r="P84" s="97">
        <f t="shared" si="8"/>
        <v>0</v>
      </c>
      <c r="Q84" s="101" t="str">
        <f t="shared" si="9"/>
        <v xml:space="preserve"> </v>
      </c>
      <c r="R84" s="91" t="str">
        <f>IF($C$4="High Inventory",IF(AND(O84&gt;=Summary!$C$106,P84&gt;=Summary!$C$107),"X"," "),IF(AND(O84&lt;=-Summary!$C$106,P84&lt;=-Summary!$C$107),"X"," "))</f>
        <v xml:space="preserve"> </v>
      </c>
      <c r="S84" s="21" t="str">
        <f>IF(AND(L84-I84&gt;=Summary!$C$110,N84-K84&gt;Summary!$C$110,N84&gt;0),"X"," ")</f>
        <v xml:space="preserve"> </v>
      </c>
      <c r="T84" s="17" t="str">
        <f>IF($C$4="High Inventory",IF(AND($O84&gt;=Summary!$C$106,$P84&gt;=0%),"X"," "),IF(AND($O84&lt;=-Summary!$C$106,$P84&lt;=0%),"X"," "))</f>
        <v xml:space="preserve"> </v>
      </c>
      <c r="U84" s="21" t="str">
        <f>IF($C$4="High Inventory",IF(AND($O84&gt;=0,$P84&gt;=Summary!$C$107),"X"," "),IF(AND($O84&lt;=0,$P84&lt;=-Summary!$C$107),"X"," "))</f>
        <v xml:space="preserve"> </v>
      </c>
      <c r="V84" t="str">
        <f t="shared" si="10"/>
        <v xml:space="preserve"> </v>
      </c>
    </row>
    <row r="85" spans="1:22" x14ac:dyDescent="0.2">
      <c r="A85" s="42">
        <v>20566</v>
      </c>
      <c r="B85" s="77" t="s">
        <v>17</v>
      </c>
      <c r="C85" s="10">
        <v>0</v>
      </c>
      <c r="D85" s="5">
        <v>0</v>
      </c>
      <c r="E85" s="5">
        <v>0</v>
      </c>
      <c r="F85" s="10">
        <v>0</v>
      </c>
      <c r="G85" s="5">
        <v>0</v>
      </c>
      <c r="H85" s="5">
        <v>0</v>
      </c>
      <c r="I85" s="10">
        <v>0</v>
      </c>
      <c r="J85" s="5">
        <v>0</v>
      </c>
      <c r="K85" s="5">
        <v>0</v>
      </c>
      <c r="L85" s="10">
        <v>0</v>
      </c>
      <c r="M85" s="5">
        <v>0</v>
      </c>
      <c r="N85" s="5">
        <v>0</v>
      </c>
      <c r="O85" s="10">
        <f t="shared" si="7"/>
        <v>0</v>
      </c>
      <c r="P85" s="97">
        <f t="shared" si="8"/>
        <v>0</v>
      </c>
      <c r="Q85" s="101" t="str">
        <f t="shared" si="9"/>
        <v xml:space="preserve"> </v>
      </c>
      <c r="R85" s="91" t="str">
        <f>IF($C$4="High Inventory",IF(AND(O85&gt;=Summary!$C$106,P85&gt;=Summary!$C$107),"X"," "),IF(AND(O85&lt;=-Summary!$C$106,P85&lt;=-Summary!$C$107),"X"," "))</f>
        <v xml:space="preserve"> </v>
      </c>
      <c r="S85" s="21" t="str">
        <f>IF(AND(L85-I85&gt;=Summary!$C$110,N85-K85&gt;Summary!$C$110,N85&gt;0),"X"," ")</f>
        <v xml:space="preserve"> </v>
      </c>
      <c r="T85" s="17" t="str">
        <f>IF($C$4="High Inventory",IF(AND($O85&gt;=Summary!$C$106,$P85&gt;=0%),"X"," "),IF(AND($O85&lt;=-Summary!$C$106,$P85&lt;=0%),"X"," "))</f>
        <v xml:space="preserve"> </v>
      </c>
      <c r="U85" s="21" t="str">
        <f>IF($C$4="High Inventory",IF(AND($O85&gt;=0,$P85&gt;=Summary!$C$107),"X"," "),IF(AND($O85&lt;=0,$P85&lt;=-Summary!$C$107),"X"," "))</f>
        <v xml:space="preserve"> </v>
      </c>
      <c r="V85" t="str">
        <f t="shared" si="10"/>
        <v xml:space="preserve"> </v>
      </c>
    </row>
    <row r="86" spans="1:22" x14ac:dyDescent="0.2">
      <c r="A86" s="42">
        <v>25541</v>
      </c>
      <c r="B86" s="77" t="s">
        <v>17</v>
      </c>
      <c r="C86" s="10">
        <v>0</v>
      </c>
      <c r="D86" s="5">
        <v>113</v>
      </c>
      <c r="E86" s="5">
        <v>-113</v>
      </c>
      <c r="F86" s="10">
        <v>0</v>
      </c>
      <c r="G86" s="5">
        <v>32</v>
      </c>
      <c r="H86" s="5">
        <v>-32</v>
      </c>
      <c r="I86" s="10">
        <v>0</v>
      </c>
      <c r="J86" s="5">
        <v>2</v>
      </c>
      <c r="K86" s="5">
        <v>-2</v>
      </c>
      <c r="L86" s="10">
        <v>0</v>
      </c>
      <c r="M86" s="5">
        <v>2</v>
      </c>
      <c r="N86" s="5">
        <v>-2</v>
      </c>
      <c r="O86" s="10">
        <f>K86+H86+E86</f>
        <v>-147</v>
      </c>
      <c r="P86" s="97">
        <f>O86/(J86+G86+D86+1)</f>
        <v>-0.9932432432432432</v>
      </c>
      <c r="Q86" s="101" t="str">
        <f t="shared" si="9"/>
        <v xml:space="preserve"> </v>
      </c>
      <c r="R86" s="91" t="str">
        <f>IF($C$4="High Inventory",IF(AND(O86&gt;=Summary!$C$106,P86&gt;=Summary!$C$107),"X"," "),IF(AND(O86&lt;=-Summary!$C$106,P86&lt;=-Summary!$C$107),"X"," "))</f>
        <v xml:space="preserve"> </v>
      </c>
      <c r="S86" s="21" t="str">
        <f>IF(AND(L86-I86&gt;=Summary!$C$110,N86-K86&gt;Summary!$C$110,N86&gt;0),"X"," ")</f>
        <v xml:space="preserve"> </v>
      </c>
      <c r="T86" s="17" t="str">
        <f>IF($C$4="High Inventory",IF(AND($O86&gt;=Summary!$C$106,$P86&gt;=0%),"X"," "),IF(AND($O86&lt;=-Summary!$C$106,$P86&lt;=0%),"X"," "))</f>
        <v xml:space="preserve"> </v>
      </c>
      <c r="U86" s="21" t="str">
        <f>IF($C$4="High Inventory",IF(AND($O86&gt;=0,$P86&gt;=Summary!$C$107),"X"," "),IF(AND($O86&lt;=0,$P86&lt;=-Summary!$C$107),"X"," "))</f>
        <v xml:space="preserve"> </v>
      </c>
      <c r="V86" t="str">
        <f t="shared" si="10"/>
        <v xml:space="preserve"> </v>
      </c>
    </row>
    <row r="87" spans="1:22" ht="13.5" thickBot="1" x14ac:dyDescent="0.25">
      <c r="A87" s="42">
        <v>28729</v>
      </c>
      <c r="B87" s="77" t="s">
        <v>17</v>
      </c>
      <c r="C87" s="10">
        <v>50000</v>
      </c>
      <c r="D87" s="5">
        <v>27219</v>
      </c>
      <c r="E87" s="5">
        <v>22781</v>
      </c>
      <c r="F87" s="10">
        <v>50000</v>
      </c>
      <c r="G87" s="5">
        <v>26126</v>
      </c>
      <c r="H87" s="5">
        <v>23874</v>
      </c>
      <c r="I87" s="10">
        <v>25000</v>
      </c>
      <c r="J87" s="5">
        <v>24918</v>
      </c>
      <c r="K87" s="5">
        <v>82</v>
      </c>
      <c r="L87" s="10">
        <v>25800</v>
      </c>
      <c r="M87" s="5">
        <v>26482</v>
      </c>
      <c r="N87" s="5">
        <v>-682</v>
      </c>
      <c r="O87" s="10">
        <f>K87+H87+E87</f>
        <v>46737</v>
      </c>
      <c r="P87" s="97">
        <f>O87/(J87+G87+D87+1)</f>
        <v>0.59717111315547378</v>
      </c>
      <c r="Q87" s="120" t="str">
        <f t="shared" si="9"/>
        <v xml:space="preserve"> </v>
      </c>
      <c r="R87" s="121" t="str">
        <f>IF($C$4="High Inventory",IF(AND(O87&gt;=Summary!$C$106,P87&gt;=Summary!$C$107),"X"," "),IF(AND(O87&lt;=-Summary!$C$106,P87&lt;=-Summary!$C$107),"X"," "))</f>
        <v>X</v>
      </c>
      <c r="S87" s="23" t="str">
        <f>IF(AND(L87-I87&gt;=Summary!$C$110,N87-K87&gt;Summary!$C$110,N87&gt;0),"X"," ")</f>
        <v xml:space="preserve"> </v>
      </c>
      <c r="T87" s="127" t="str">
        <f>IF($C$4="High Inventory",IF(AND($O87&gt;=Summary!$C$106,$P87&gt;=0%),"X"," "),IF(AND($O87&lt;=-Summary!$C$106,$P87&lt;=0%),"X"," "))</f>
        <v>X</v>
      </c>
      <c r="U87" s="23" t="str">
        <f>IF($C$4="High Inventory",IF(AND($O87&gt;=0,$P87&gt;=Summary!$C$107),"X"," "),IF(AND($O87&lt;=0,$P87&lt;=-Summary!$C$107),"X"," "))</f>
        <v>X</v>
      </c>
      <c r="V87" t="str">
        <f t="shared" si="10"/>
        <v xml:space="preserve"> </v>
      </c>
    </row>
    <row r="88" spans="1:22" x14ac:dyDescent="0.2">
      <c r="A88" s="2" t="s">
        <v>18</v>
      </c>
      <c r="E88" s="3">
        <f>SUM(E10:E87)</f>
        <v>119353</v>
      </c>
      <c r="H88" s="3">
        <f>SUM(H10:H87)</f>
        <v>267092</v>
      </c>
      <c r="K88" s="3">
        <f>SUM(K10:K87)</f>
        <v>-89408</v>
      </c>
      <c r="M88" s="3">
        <f>SUM(M10:M87)</f>
        <v>1673254</v>
      </c>
      <c r="N88" s="3">
        <f>SUM(N10:N87)</f>
        <v>-60389</v>
      </c>
      <c r="Q88" s="2">
        <f>COUNTIF(Q16:Q87,"X")</f>
        <v>0</v>
      </c>
      <c r="R88" s="2">
        <f>COUNTIF(R16:R87,"X")</f>
        <v>9</v>
      </c>
      <c r="S88" s="2">
        <f>COUNTIF(S16:S87,"X")</f>
        <v>0</v>
      </c>
      <c r="T88" s="2">
        <f>COUNTIF(T16:T87,"X")</f>
        <v>10</v>
      </c>
      <c r="U88" s="2">
        <f>COUNTIF(U16:U87,"X")</f>
        <v>11</v>
      </c>
      <c r="V88">
        <f>SUM(V$58:V$87)+SUM(V$31:V$53)+SUM(V$10:V$26)</f>
        <v>0</v>
      </c>
    </row>
    <row r="89" spans="1:22" x14ac:dyDescent="0.2">
      <c r="M89" s="115" t="s">
        <v>57</v>
      </c>
      <c r="N89" s="116">
        <f>N88/M88</f>
        <v>-3.609075490033193E-2</v>
      </c>
    </row>
  </sheetData>
  <mergeCells count="1">
    <mergeCell ref="R6:S6"/>
  </mergeCells>
  <pageMargins left="0.25" right="0.25" top="0.71" bottom="0.88" header="0.48" footer="0.5"/>
  <pageSetup scale="71" fitToHeight="0" orientation="landscape" horizontalDpi="300" verticalDpi="300" r:id="rId1"/>
  <headerFooter alignWithMargins="0">
    <oddHeader>&amp;RFor Settlement Purposes:  Subject to CPUC Rule 51</oddHeader>
    <oddFooter>&amp;L1. CTARGAS is a Core Procurement Group; NBAA is  group of noncore enduse customers; NGSA is an individual customer.
2. "Significant Contributor" has 3-Day-Prior imbalance greater than 5000 Dth and 10%. (Section B.3.b.)&amp;RPage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57</vt:i4>
      </vt:variant>
    </vt:vector>
  </HeadingPairs>
  <TitlesOfParts>
    <vt:vector size="69" baseType="lpstr">
      <vt:lpstr>Summary</vt:lpstr>
      <vt:lpstr>April 07 </vt:lpstr>
      <vt:lpstr>April 12</vt:lpstr>
      <vt:lpstr>April 15</vt:lpstr>
      <vt:lpstr>April 16</vt:lpstr>
      <vt:lpstr>April 26</vt:lpstr>
      <vt:lpstr>May 21</vt:lpstr>
      <vt:lpstr>May 27</vt:lpstr>
      <vt:lpstr>May 28</vt:lpstr>
      <vt:lpstr>June 3</vt:lpstr>
      <vt:lpstr>June 4</vt:lpstr>
      <vt:lpstr>June 12</vt:lpstr>
      <vt:lpstr>ctar0407</vt:lpstr>
      <vt:lpstr>ctar0412</vt:lpstr>
      <vt:lpstr>ctar0415</vt:lpstr>
      <vt:lpstr>ctar0416</vt:lpstr>
      <vt:lpstr>ctar0426</vt:lpstr>
      <vt:lpstr>ctar0521</vt:lpstr>
      <vt:lpstr>ctar0527</vt:lpstr>
      <vt:lpstr>ctar0528</vt:lpstr>
      <vt:lpstr>ctar0603</vt:lpstr>
      <vt:lpstr>ctar0604</vt:lpstr>
      <vt:lpstr>ctar0612</vt:lpstr>
      <vt:lpstr>nbaa0407</vt:lpstr>
      <vt:lpstr>nbaa0412</vt:lpstr>
      <vt:lpstr>nbaa0415</vt:lpstr>
      <vt:lpstr>nbaa0416</vt:lpstr>
      <vt:lpstr>nbaa0426</vt:lpstr>
      <vt:lpstr>nbaa0521</vt:lpstr>
      <vt:lpstr>nbaa0527</vt:lpstr>
      <vt:lpstr>nbaa0528</vt:lpstr>
      <vt:lpstr>nbaa0603</vt:lpstr>
      <vt:lpstr>nbaa0604</vt:lpstr>
      <vt:lpstr>nbaa0612</vt:lpstr>
      <vt:lpstr>ngsa0407</vt:lpstr>
      <vt:lpstr>ngsa0412</vt:lpstr>
      <vt:lpstr>ngsa0415</vt:lpstr>
      <vt:lpstr>ngsa0416</vt:lpstr>
      <vt:lpstr>ngsa0426</vt:lpstr>
      <vt:lpstr>ngsa0521</vt:lpstr>
      <vt:lpstr>ngsa0527</vt:lpstr>
      <vt:lpstr>ngsa0528</vt:lpstr>
      <vt:lpstr>ngsa0603</vt:lpstr>
      <vt:lpstr>ngsa0604</vt:lpstr>
      <vt:lpstr>ngsa0612</vt:lpstr>
      <vt:lpstr>'April 07 '!Print_Area</vt:lpstr>
      <vt:lpstr>'April 12'!Print_Area</vt:lpstr>
      <vt:lpstr>'April 15'!Print_Area</vt:lpstr>
      <vt:lpstr>'April 16'!Print_Area</vt:lpstr>
      <vt:lpstr>'April 26'!Print_Area</vt:lpstr>
      <vt:lpstr>'June 12'!Print_Area</vt:lpstr>
      <vt:lpstr>'June 3'!Print_Area</vt:lpstr>
      <vt:lpstr>'June 4'!Print_Area</vt:lpstr>
      <vt:lpstr>'May 21'!Print_Area</vt:lpstr>
      <vt:lpstr>'May 27'!Print_Area</vt:lpstr>
      <vt:lpstr>'May 28'!Print_Area</vt:lpstr>
      <vt:lpstr>Summary!Print_Area</vt:lpstr>
      <vt:lpstr>'April 07 '!Print_Titles</vt:lpstr>
      <vt:lpstr>'April 12'!Print_Titles</vt:lpstr>
      <vt:lpstr>'April 15'!Print_Titles</vt:lpstr>
      <vt:lpstr>'April 16'!Print_Titles</vt:lpstr>
      <vt:lpstr>'April 26'!Print_Titles</vt:lpstr>
      <vt:lpstr>'June 12'!Print_Titles</vt:lpstr>
      <vt:lpstr>'June 3'!Print_Titles</vt:lpstr>
      <vt:lpstr>'June 4'!Print_Titles</vt:lpstr>
      <vt:lpstr>'May 21'!Print_Titles</vt:lpstr>
      <vt:lpstr>'May 27'!Print_Titles</vt:lpstr>
      <vt:lpstr>'May 28'!Print_Titles</vt:lpstr>
      <vt:lpstr>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2000-08-01T00:31:52Z</cp:lastPrinted>
  <dcterms:created xsi:type="dcterms:W3CDTF">2000-07-03T21:04:42Z</dcterms:created>
  <dcterms:modified xsi:type="dcterms:W3CDTF">2023-09-10T13:16:10Z</dcterms:modified>
</cp:coreProperties>
</file>