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E135BCC-C3F0-465A-AED4-A7ACE47E2EA2}" xr6:coauthVersionLast="47" xr6:coauthVersionMax="47" xr10:uidLastSave="{00000000-0000-0000-0000-000000000000}"/>
  <bookViews>
    <workbookView xWindow="-120" yWindow="-120" windowWidth="38640" windowHeight="15720"/>
  </bookViews>
  <sheets>
    <sheet name="Attachment 8" sheetId="1" r:id="rId1"/>
    <sheet name="Attachment 9" sheetId="2" r:id="rId2"/>
    <sheet name="Attachment 8 Calc." sheetId="3" r:id="rId3"/>
    <sheet name="Attachment 9 Calc." sheetId="4" r:id="rId4"/>
  </sheets>
  <externalReferences>
    <externalReference r:id="rId5"/>
    <externalReference r:id="rId6"/>
    <externalReference r:id="rId7"/>
  </externalReferences>
  <definedNames>
    <definedName name="_Order1" hidden="1">255</definedName>
    <definedName name="FR_AND_U" localSheetId="0">[2]D!$D$16</definedName>
    <definedName name="FR_AND_U" localSheetId="1">[1]D!$D$16</definedName>
    <definedName name="FR_AND_U" localSheetId="3">[1]D!$D$16</definedName>
    <definedName name="FR_AND_U">'[3]Bundled Cost Allocation Detail'!$C$223</definedName>
    <definedName name="FR_ONLY" localSheetId="0">[2]D!$D$15</definedName>
    <definedName name="FR_ONLY" localSheetId="1">[1]D!$D$15</definedName>
    <definedName name="FR_ONLY" localSheetId="3">[1]D!$D$15</definedName>
    <definedName name="FR_ONLY">'[3]Bundled Cost Allocation Detail'!$C$222</definedName>
    <definedName name="_xlnm.Print_Titles" localSheetId="2">'Attachment 8 Calc.'!$B:$B</definedName>
    <definedName name="solver_adj" localSheetId="2" hidden="1">'Attachment 8 Calc.'!$D$59</definedName>
    <definedName name="solver_cvg" localSheetId="2" hidden="1">0.001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in" localSheetId="2" hidden="1">2</definedName>
    <definedName name="solver_neg" localSheetId="2" hidden="1">2</definedName>
    <definedName name="solver_num" localSheetId="2" hidden="1">0</definedName>
    <definedName name="solver_nwt" localSheetId="2" hidden="1">1</definedName>
    <definedName name="solver_opt" localSheetId="2" hidden="1">'Attachment 8 Calc.'!#REF!</definedName>
    <definedName name="solver_pre" localSheetId="2" hidden="1">0.000001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3</definedName>
    <definedName name="solver_val" localSheetId="2" hidden="1">73738</definedName>
  </definedNames>
  <calcPr calcId="0" fullCalcOnLoad="1" iterate="1"/>
</workbook>
</file>

<file path=xl/calcChain.xml><?xml version="1.0" encoding="utf-8"?>
<calcChain xmlns="http://schemas.openxmlformats.org/spreadsheetml/2006/main">
  <c r="D8" i="3" l="1"/>
  <c r="E8" i="3"/>
  <c r="C9" i="3"/>
  <c r="C10" i="3"/>
  <c r="D10" i="3"/>
  <c r="E10" i="3"/>
  <c r="C14" i="3"/>
  <c r="D14" i="3"/>
  <c r="E14" i="3"/>
  <c r="F14" i="3"/>
  <c r="G14" i="3"/>
  <c r="H14" i="3"/>
  <c r="I14" i="3"/>
  <c r="K14" i="3"/>
  <c r="L14" i="3"/>
  <c r="M14" i="3"/>
  <c r="N14" i="3"/>
  <c r="Q14" i="3"/>
  <c r="C16" i="3"/>
  <c r="D16" i="3"/>
  <c r="E16" i="3"/>
  <c r="F16" i="3"/>
  <c r="G16" i="3"/>
  <c r="H16" i="3"/>
  <c r="I16" i="3"/>
  <c r="K16" i="3"/>
  <c r="L16" i="3"/>
  <c r="M16" i="3"/>
  <c r="N16" i="3"/>
  <c r="P16" i="3"/>
  <c r="Q16" i="3"/>
  <c r="C17" i="3"/>
  <c r="D17" i="3"/>
  <c r="E17" i="3"/>
  <c r="F17" i="3"/>
  <c r="G17" i="3"/>
  <c r="H17" i="3"/>
  <c r="I17" i="3"/>
  <c r="K17" i="3"/>
  <c r="L17" i="3"/>
  <c r="M17" i="3"/>
  <c r="N17" i="3"/>
  <c r="P17" i="3"/>
  <c r="Q17" i="3"/>
  <c r="C19" i="3"/>
  <c r="D19" i="3"/>
  <c r="E19" i="3"/>
  <c r="F19" i="3"/>
  <c r="G19" i="3"/>
  <c r="H19" i="3"/>
  <c r="I19" i="3"/>
  <c r="K19" i="3"/>
  <c r="L19" i="3"/>
  <c r="M19" i="3"/>
  <c r="N19" i="3"/>
  <c r="P19" i="3"/>
  <c r="Q19" i="3"/>
  <c r="C20" i="3"/>
  <c r="D20" i="3"/>
  <c r="E20" i="3"/>
  <c r="F20" i="3"/>
  <c r="G20" i="3"/>
  <c r="H20" i="3"/>
  <c r="I20" i="3"/>
  <c r="K20" i="3"/>
  <c r="L20" i="3"/>
  <c r="M20" i="3"/>
  <c r="N20" i="3"/>
  <c r="P20" i="3"/>
  <c r="C21" i="3"/>
  <c r="D21" i="3"/>
  <c r="E21" i="3"/>
  <c r="F21" i="3"/>
  <c r="G21" i="3"/>
  <c r="H21" i="3"/>
  <c r="I21" i="3"/>
  <c r="Q21" i="3"/>
  <c r="K22" i="3"/>
  <c r="L22" i="3"/>
  <c r="M22" i="3"/>
  <c r="N22" i="3"/>
  <c r="P22" i="3"/>
  <c r="Q22" i="3"/>
  <c r="C23" i="3"/>
  <c r="D23" i="3"/>
  <c r="E23" i="3"/>
  <c r="F23" i="3"/>
  <c r="G23" i="3"/>
  <c r="H23" i="3"/>
  <c r="I23" i="3"/>
  <c r="K23" i="3"/>
  <c r="L23" i="3"/>
  <c r="M23" i="3"/>
  <c r="N23" i="3"/>
  <c r="P23" i="3"/>
  <c r="Q23" i="3"/>
  <c r="C24" i="3"/>
  <c r="D24" i="3"/>
  <c r="E24" i="3"/>
  <c r="F24" i="3"/>
  <c r="G24" i="3"/>
  <c r="H24" i="3"/>
  <c r="I24" i="3"/>
  <c r="K24" i="3"/>
  <c r="L24" i="3"/>
  <c r="M24" i="3"/>
  <c r="N24" i="3"/>
  <c r="P24" i="3"/>
  <c r="Q24" i="3"/>
  <c r="C26" i="3"/>
  <c r="D26" i="3"/>
  <c r="E26" i="3"/>
  <c r="F26" i="3"/>
  <c r="G26" i="3"/>
  <c r="H26" i="3"/>
  <c r="I26" i="3"/>
  <c r="N26" i="3"/>
  <c r="Q26" i="3"/>
  <c r="C27" i="3"/>
  <c r="D27" i="3"/>
  <c r="E27" i="3"/>
  <c r="F27" i="3"/>
  <c r="G27" i="3"/>
  <c r="H27" i="3"/>
  <c r="I27" i="3"/>
  <c r="K27" i="3"/>
  <c r="L27" i="3"/>
  <c r="M27" i="3"/>
  <c r="N27" i="3"/>
  <c r="Q27" i="3"/>
  <c r="C28" i="3"/>
  <c r="D28" i="3"/>
  <c r="E28" i="3"/>
  <c r="F28" i="3"/>
  <c r="G28" i="3"/>
  <c r="H28" i="3"/>
  <c r="I28" i="3"/>
  <c r="N28" i="3"/>
  <c r="Q28" i="3"/>
  <c r="C30" i="3"/>
  <c r="D30" i="3"/>
  <c r="E30" i="3"/>
  <c r="F30" i="3"/>
  <c r="G30" i="3"/>
  <c r="H30" i="3"/>
  <c r="I30" i="3"/>
  <c r="K30" i="3"/>
  <c r="L30" i="3"/>
  <c r="M30" i="3"/>
  <c r="N30" i="3"/>
  <c r="C32" i="3"/>
  <c r="D32" i="3"/>
  <c r="E32" i="3"/>
  <c r="F32" i="3"/>
  <c r="G32" i="3"/>
  <c r="H32" i="3"/>
  <c r="I32" i="3"/>
  <c r="K32" i="3"/>
  <c r="L32" i="3"/>
  <c r="M32" i="3"/>
  <c r="N32" i="3"/>
  <c r="P32" i="3"/>
  <c r="Q32" i="3"/>
  <c r="C34" i="3"/>
  <c r="D34" i="3"/>
  <c r="E34" i="3"/>
  <c r="F34" i="3"/>
  <c r="G34" i="3"/>
  <c r="H34" i="3"/>
  <c r="I34" i="3"/>
  <c r="K34" i="3"/>
  <c r="L34" i="3"/>
  <c r="M34" i="3"/>
  <c r="N34" i="3"/>
  <c r="P34" i="3"/>
  <c r="Q34" i="3"/>
  <c r="C37" i="3"/>
  <c r="D37" i="3"/>
  <c r="E37" i="3"/>
  <c r="F37" i="3"/>
  <c r="G37" i="3"/>
  <c r="H37" i="3"/>
  <c r="I37" i="3"/>
  <c r="K37" i="3"/>
  <c r="L37" i="3"/>
  <c r="M37" i="3"/>
  <c r="N37" i="3"/>
  <c r="Q37" i="3"/>
  <c r="B14" i="2"/>
  <c r="C14" i="2"/>
  <c r="D14" i="2"/>
  <c r="F14" i="2"/>
  <c r="G14" i="2"/>
  <c r="H14" i="2"/>
  <c r="I14" i="2"/>
  <c r="B16" i="2"/>
  <c r="C16" i="2"/>
  <c r="D16" i="2"/>
  <c r="F16" i="2"/>
  <c r="G16" i="2"/>
  <c r="H16" i="2"/>
  <c r="I16" i="2"/>
  <c r="B18" i="2"/>
  <c r="C18" i="2"/>
  <c r="D18" i="2"/>
  <c r="F18" i="2"/>
  <c r="G18" i="2"/>
  <c r="H18" i="2"/>
  <c r="I18" i="2"/>
  <c r="B14" i="4"/>
  <c r="C14" i="4"/>
  <c r="D14" i="4"/>
  <c r="E14" i="4"/>
  <c r="F14" i="4"/>
  <c r="G14" i="4"/>
  <c r="H14" i="4"/>
  <c r="J14" i="4"/>
  <c r="K14" i="4"/>
  <c r="L14" i="4"/>
  <c r="M14" i="4"/>
  <c r="B16" i="4"/>
  <c r="C16" i="4"/>
  <c r="D16" i="4"/>
  <c r="E16" i="4"/>
  <c r="F16" i="4"/>
  <c r="G16" i="4"/>
  <c r="H16" i="4"/>
  <c r="J16" i="4"/>
  <c r="K16" i="4"/>
  <c r="L16" i="4"/>
  <c r="M16" i="4"/>
  <c r="B18" i="4"/>
  <c r="C18" i="4"/>
  <c r="D18" i="4"/>
  <c r="E18" i="4"/>
  <c r="F18" i="4"/>
  <c r="G18" i="4"/>
  <c r="H18" i="4"/>
  <c r="J18" i="4"/>
  <c r="K18" i="4"/>
  <c r="L18" i="4"/>
  <c r="M18" i="4"/>
</calcChain>
</file>

<file path=xl/sharedStrings.xml><?xml version="1.0" encoding="utf-8"?>
<sst xmlns="http://schemas.openxmlformats.org/spreadsheetml/2006/main" count="141" uniqueCount="56">
  <si>
    <t>Amounts in Thousands</t>
  </si>
  <si>
    <t>Assumptions</t>
  </si>
  <si>
    <t>Value of Interstate Brokered Capacity (% ABR)</t>
  </si>
  <si>
    <t>Assumed PBR Inflator (illustrative)</t>
  </si>
  <si>
    <t>Residential</t>
  </si>
  <si>
    <t>Nonresidential</t>
  </si>
  <si>
    <t>Total</t>
  </si>
  <si>
    <t>CAT Market Share (assumed)</t>
  </si>
  <si>
    <t>Total Core Breakdown</t>
  </si>
  <si>
    <t>CAT Market Share Within Subclass</t>
  </si>
  <si>
    <t>Core (1)</t>
  </si>
  <si>
    <t>Noncore</t>
  </si>
  <si>
    <t>Non-Residential</t>
  </si>
  <si>
    <t>Total Core</t>
  </si>
  <si>
    <t>EG (including Cogen)</t>
  </si>
  <si>
    <t>C&amp;I Noncore (G30)</t>
  </si>
  <si>
    <t>Wholesale (includes DGN)</t>
  </si>
  <si>
    <t>Total Noncore Except EOR</t>
  </si>
  <si>
    <t>2000 BCAP Transportation Revenue Requirement Adjusted to 2002 (1)</t>
  </si>
  <si>
    <t>Bundled Transportation Revenue Requirement Except Pipeline Demand (2)</t>
  </si>
  <si>
    <t>Local Transmission</t>
  </si>
  <si>
    <t>Backbone Transmission (est.) (3)</t>
  </si>
  <si>
    <t>Company Use Fuel - Transmission (est.)</t>
  </si>
  <si>
    <t>Storage</t>
  </si>
  <si>
    <t>Balancing</t>
  </si>
  <si>
    <t>Company Use Fuel - Storage (est.)</t>
  </si>
  <si>
    <t>Variable Costs - Storage and Balancing</t>
  </si>
  <si>
    <t>Pipeline Demand Charges 2002 (est.)</t>
  </si>
  <si>
    <t>Change in Noncore ITCS 2002 (est.)</t>
  </si>
  <si>
    <t>CAT Unbundling Stranded Cost 2002 (est.)</t>
  </si>
  <si>
    <t>Implementation Costs</t>
  </si>
  <si>
    <t>Net Change from 2000 BCAP</t>
  </si>
  <si>
    <t>Average Year Throughput</t>
  </si>
  <si>
    <t>(1) Includes NSBA balance deferred in BCAP decision, adjusted to 2002.</t>
  </si>
  <si>
    <t xml:space="preserve">(2) Allocation of regulatory accounts and other cost items is assumed unchanged from the BCAP Decsion (D.00-04-060.  </t>
  </si>
  <si>
    <t>(3) Includes assumed secondary market sales by core procurement department.</t>
  </si>
  <si>
    <t>Cents per therm</t>
  </si>
  <si>
    <t>CAT Market Share</t>
  </si>
  <si>
    <t>Noncore Except EOR</t>
  </si>
  <si>
    <t>2000 BCAP Class Average Rates 
Adjusted to 2002</t>
  </si>
  <si>
    <t>Comprehensive Settlement Class Average Total Rates Including Estimated Unbundled Services</t>
  </si>
  <si>
    <t>Net Change from BCAP</t>
  </si>
  <si>
    <t>(1) Combines core procurement customers and CTA customers.  Benefits are not evenly distributed between these two customer categories.</t>
  </si>
  <si>
    <t xml:space="preserve">   Includes estimated cost of replacement interstate capacity for CTA customers.</t>
  </si>
  <si>
    <t>Estimated Cost Allocation Impacts of Comprehensive Settlement in 2002</t>
  </si>
  <si>
    <t>Retail Core</t>
  </si>
  <si>
    <t>Core Aggregators</t>
  </si>
  <si>
    <t xml:space="preserve">Core </t>
  </si>
  <si>
    <t>Line</t>
  </si>
  <si>
    <t>EOR</t>
  </si>
  <si>
    <t>Total System</t>
  </si>
  <si>
    <t>Bundled Transportation Revenue Requirement Except Pipeline Demand</t>
  </si>
  <si>
    <t>Backbone Transmission (est.) (2)</t>
  </si>
  <si>
    <t>Average Year TP (Mdth)</t>
  </si>
  <si>
    <t>Cold Year TP</t>
  </si>
  <si>
    <t>(1) Includes NSBA balance deferred in BCAP decision.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</si>
</sst>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[Red]\-0_)"/>
    <numFmt numFmtId="165" formatCode="_(* #,##0_);_(* \(#,##0\);_(* &quot;-&quot;??_);_(@_)"/>
    <numFmt numFmtId="166" formatCode="0.0%"/>
    <numFmt numFmtId="180" formatCode="_(* #,##0.00000_);_(* \(#,##0.00000\);_(* &quot;-&quot;??_);_(@_)"/>
    <numFmt numFmtId="181" formatCode="0.000_)"/>
    <numFmt numFmtId="183" formatCode="_(* #,##0.000_);_(* \(#,##0.000\);_(* &quot;-&quot;??_);_(@_)"/>
    <numFmt numFmtId="184" formatCode="0.000_);[Red]\-0.000_)"/>
    <numFmt numFmtId="185" formatCode="0.00_);[Red]\-0.00_)"/>
    <numFmt numFmtId="204" formatCode="0.000000_);[Red]\-0.000000_)"/>
    <numFmt numFmtId="209" formatCode="_(&quot;$&quot;* #,##0_);_(&quot;$&quot;* \(#,##0\);_(&quot;$&quot;* &quot;-&quot;??_);_(@_)"/>
    <numFmt numFmtId="210" formatCode="0.000"/>
    <numFmt numFmtId="241" formatCode="_(&quot;$&quot;* #,##0.000_);_(&quot;$&quot;* \(#,##0.000\);_(&quot;$&quot;* &quot;-&quot;??_);_(@_)"/>
    <numFmt numFmtId="244" formatCode="_(&quot;$&quot;* #,##0.0000_);_(&quot;$&quot;* \(#,##0.0000\);_(&quot;$&quot;* &quot;-&quot;??_);_(@_)"/>
  </numFmts>
  <fonts count="14" x14ac:knownFonts="1">
    <font>
      <sz val="10"/>
      <name val="Arial"/>
    </font>
    <font>
      <sz val="10"/>
      <name val="Arial"/>
    </font>
    <font>
      <sz val="10"/>
      <name val="Helv"/>
    </font>
    <font>
      <sz val="10"/>
      <color indexed="8"/>
      <name val="MS Sans Serif"/>
    </font>
    <font>
      <sz val="10"/>
      <name val="Book Antiqua"/>
    </font>
    <font>
      <sz val="12"/>
      <name val="Helv"/>
    </font>
    <font>
      <sz val="5"/>
      <name val="Helv"/>
    </font>
    <font>
      <sz val="8"/>
      <name val="Arial"/>
    </font>
    <font>
      <sz val="10"/>
      <name val="Times New Roman"/>
    </font>
    <font>
      <sz val="10"/>
      <name val="Helvetica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2"/>
      <name val="Book Antiqua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10" fontId="2" fillId="0" borderId="0">
      <alignment horizontal="center"/>
    </xf>
    <xf numFmtId="164" fontId="5" fillId="0" borderId="0"/>
    <xf numFmtId="0" fontId="1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0" fillId="0" borderId="1" xfId="0" applyFont="1" applyBorder="1"/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9" fontId="11" fillId="0" borderId="0" xfId="6" applyFont="1" applyBorder="1"/>
    <xf numFmtId="0" fontId="11" fillId="0" borderId="0" xfId="0" applyFont="1" applyBorder="1"/>
    <xf numFmtId="0" fontId="11" fillId="0" borderId="5" xfId="0" applyFont="1" applyBorder="1"/>
    <xf numFmtId="0" fontId="12" fillId="0" borderId="4" xfId="0" applyFont="1" applyBorder="1" applyAlignment="1">
      <alignment wrapText="1"/>
    </xf>
    <xf numFmtId="0" fontId="12" fillId="0" borderId="0" xfId="0" applyFont="1" applyBorder="1" applyAlignment="1">
      <alignment horizontal="right" wrapText="1"/>
    </xf>
    <xf numFmtId="0" fontId="11" fillId="0" borderId="6" xfId="0" applyFont="1" applyBorder="1" applyAlignment="1">
      <alignment horizontal="left" wrapText="1"/>
    </xf>
    <xf numFmtId="166" fontId="11" fillId="0" borderId="7" xfId="6" applyNumberFormat="1" applyFont="1" applyBorder="1"/>
    <xf numFmtId="9" fontId="11" fillId="0" borderId="8" xfId="6" applyFont="1" applyBorder="1"/>
    <xf numFmtId="166" fontId="11" fillId="0" borderId="0" xfId="6" applyNumberFormat="1" applyFont="1" applyBorder="1"/>
    <xf numFmtId="9" fontId="12" fillId="0" borderId="0" xfId="6" applyFont="1" applyBorder="1" applyAlignment="1">
      <alignment horizontal="right" wrapText="1"/>
    </xf>
    <xf numFmtId="241" fontId="11" fillId="0" borderId="0" xfId="2" applyNumberFormat="1" applyFont="1"/>
    <xf numFmtId="165" fontId="11" fillId="0" borderId="0" xfId="1" applyNumberFormat="1" applyFont="1" applyAlignment="1">
      <alignment horizontal="center" wrapText="1"/>
    </xf>
    <xf numFmtId="165" fontId="10" fillId="0" borderId="0" xfId="1" applyNumberFormat="1" applyFont="1" applyAlignment="1">
      <alignment horizontal="center" wrapText="1"/>
    </xf>
    <xf numFmtId="165" fontId="11" fillId="0" borderId="0" xfId="1" applyNumberFormat="1" applyFont="1" applyAlignment="1">
      <alignment wrapText="1"/>
    </xf>
    <xf numFmtId="165" fontId="11" fillId="0" borderId="0" xfId="1" applyNumberFormat="1" applyFont="1"/>
    <xf numFmtId="165" fontId="11" fillId="0" borderId="0" xfId="1" applyNumberFormat="1" applyFont="1" applyFill="1" applyAlignment="1">
      <alignment wrapText="1"/>
    </xf>
    <xf numFmtId="165" fontId="11" fillId="0" borderId="0" xfId="1" applyNumberFormat="1" applyFont="1" applyFill="1"/>
    <xf numFmtId="165" fontId="10" fillId="0" borderId="0" xfId="1" applyNumberFormat="1" applyFont="1"/>
    <xf numFmtId="166" fontId="11" fillId="0" borderId="0" xfId="6" applyNumberFormat="1" applyFont="1"/>
    <xf numFmtId="185" fontId="11" fillId="0" borderId="0" xfId="0" applyNumberFormat="1" applyFont="1"/>
    <xf numFmtId="43" fontId="11" fillId="0" borderId="0" xfId="1" applyFont="1"/>
    <xf numFmtId="184" fontId="11" fillId="0" borderId="0" xfId="0" applyNumberFormat="1" applyFont="1"/>
    <xf numFmtId="0" fontId="11" fillId="0" borderId="0" xfId="5" applyFont="1" applyAlignment="1">
      <alignment horizontal="right"/>
    </xf>
    <xf numFmtId="0" fontId="11" fillId="0" borderId="0" xfId="5" applyFont="1"/>
    <xf numFmtId="165" fontId="11" fillId="0" borderId="0" xfId="5" applyNumberFormat="1" applyFont="1"/>
    <xf numFmtId="1" fontId="11" fillId="0" borderId="0" xfId="5" applyNumberFormat="1" applyFont="1"/>
    <xf numFmtId="165" fontId="11" fillId="0" borderId="0" xfId="1" applyNumberFormat="1" applyFont="1" applyAlignment="1">
      <alignment horizontal="right"/>
    </xf>
    <xf numFmtId="9" fontId="11" fillId="0" borderId="0" xfId="6" applyFont="1"/>
    <xf numFmtId="0" fontId="11" fillId="0" borderId="0" xfId="0" applyFont="1" applyAlignment="1">
      <alignment horizontal="right"/>
    </xf>
    <xf numFmtId="244" fontId="11" fillId="0" borderId="0" xfId="2" applyNumberFormat="1" applyFont="1"/>
    <xf numFmtId="209" fontId="11" fillId="0" borderId="0" xfId="2" applyNumberFormat="1" applyFont="1"/>
    <xf numFmtId="44" fontId="11" fillId="0" borderId="0" xfId="2" applyFont="1"/>
    <xf numFmtId="43" fontId="11" fillId="0" borderId="0" xfId="1" applyFont="1" applyAlignment="1">
      <alignment wrapText="1"/>
    </xf>
    <xf numFmtId="43" fontId="11" fillId="0" borderId="0" xfId="1" applyFont="1" applyFill="1"/>
    <xf numFmtId="43" fontId="10" fillId="0" borderId="0" xfId="1" applyFont="1"/>
    <xf numFmtId="164" fontId="10" fillId="0" borderId="0" xfId="4" applyFont="1"/>
    <xf numFmtId="164" fontId="11" fillId="0" borderId="0" xfId="4" applyFont="1"/>
    <xf numFmtId="164" fontId="12" fillId="0" borderId="0" xfId="4" applyFont="1"/>
    <xf numFmtId="164" fontId="10" fillId="0" borderId="1" xfId="4" applyFont="1" applyBorder="1"/>
    <xf numFmtId="164" fontId="11" fillId="0" borderId="2" xfId="4" applyFont="1" applyBorder="1"/>
    <xf numFmtId="164" fontId="11" fillId="0" borderId="3" xfId="4" applyFont="1" applyBorder="1"/>
    <xf numFmtId="164" fontId="11" fillId="0" borderId="4" xfId="4" applyFont="1" applyBorder="1"/>
    <xf numFmtId="164" fontId="11" fillId="0" borderId="0" xfId="4" applyFont="1" applyBorder="1"/>
    <xf numFmtId="164" fontId="11" fillId="0" borderId="5" xfId="4" applyFont="1" applyBorder="1"/>
    <xf numFmtId="164" fontId="12" fillId="0" borderId="4" xfId="4" applyFont="1" applyBorder="1" applyAlignment="1">
      <alignment wrapText="1"/>
    </xf>
    <xf numFmtId="164" fontId="11" fillId="0" borderId="6" xfId="4" applyFont="1" applyBorder="1" applyAlignment="1">
      <alignment horizontal="left" wrapText="1"/>
    </xf>
    <xf numFmtId="9" fontId="11" fillId="0" borderId="7" xfId="6" applyFont="1" applyBorder="1"/>
    <xf numFmtId="166" fontId="11" fillId="0" borderId="8" xfId="6" applyNumberFormat="1" applyFont="1" applyBorder="1"/>
    <xf numFmtId="164" fontId="12" fillId="0" borderId="0" xfId="4" applyFont="1" applyBorder="1" applyAlignment="1">
      <alignment horizontal="right" wrapText="1"/>
    </xf>
    <xf numFmtId="180" fontId="11" fillId="0" borderId="0" xfId="1" applyNumberFormat="1" applyFont="1" applyAlignment="1">
      <alignment wrapText="1"/>
    </xf>
    <xf numFmtId="43" fontId="11" fillId="0" borderId="0" xfId="1" applyNumberFormat="1" applyFont="1"/>
    <xf numFmtId="43" fontId="11" fillId="0" borderId="0" xfId="1" applyNumberFormat="1" applyFont="1" applyFill="1"/>
    <xf numFmtId="180" fontId="11" fillId="0" borderId="0" xfId="1" applyNumberFormat="1" applyFont="1"/>
    <xf numFmtId="183" fontId="11" fillId="0" borderId="0" xfId="1" applyNumberFormat="1" applyFont="1"/>
    <xf numFmtId="165" fontId="10" fillId="0" borderId="0" xfId="1" applyNumberFormat="1" applyFont="1" applyAlignment="1">
      <alignment wrapText="1"/>
    </xf>
    <xf numFmtId="165" fontId="11" fillId="0" borderId="0" xfId="6" applyNumberFormat="1" applyFont="1"/>
    <xf numFmtId="37" fontId="13" fillId="0" borderId="0" xfId="4" applyNumberFormat="1" applyFont="1" applyProtection="1"/>
    <xf numFmtId="185" fontId="11" fillId="0" borderId="0" xfId="4" applyNumberFormat="1" applyFont="1"/>
    <xf numFmtId="204" fontId="11" fillId="0" borderId="0" xfId="4" applyNumberFormat="1" applyFont="1"/>
    <xf numFmtId="184" fontId="11" fillId="0" borderId="0" xfId="4" applyNumberFormat="1" applyFont="1"/>
    <xf numFmtId="164" fontId="11" fillId="0" borderId="0" xfId="4" applyFont="1" applyAlignment="1">
      <alignment horizontal="right"/>
    </xf>
    <xf numFmtId="0" fontId="10" fillId="0" borderId="2" xfId="0" applyFont="1" applyBorder="1"/>
    <xf numFmtId="0" fontId="12" fillId="0" borderId="0" xfId="0" applyFont="1" applyBorder="1" applyAlignment="1">
      <alignment wrapText="1"/>
    </xf>
    <xf numFmtId="0" fontId="11" fillId="0" borderId="7" xfId="0" applyFont="1" applyBorder="1" applyAlignment="1">
      <alignment horizontal="left" wrapText="1"/>
    </xf>
    <xf numFmtId="0" fontId="10" fillId="0" borderId="0" xfId="0" applyFont="1" applyAlignment="1">
      <alignment horizontal="centerContinuous"/>
    </xf>
    <xf numFmtId="164" fontId="10" fillId="0" borderId="0" xfId="4" applyFont="1" applyAlignment="1">
      <alignment horizontal="centerContinuous"/>
    </xf>
  </cellXfs>
  <cellStyles count="7">
    <cellStyle name="Comma" xfId="1" builtinId="3"/>
    <cellStyle name="Currency" xfId="2" builtinId="4"/>
    <cellStyle name="DATA" xfId="3"/>
    <cellStyle name="Normal" xfId="0" builtinId="0"/>
    <cellStyle name="Normal_card_gir SCGC DR5" xfId="4"/>
    <cellStyle name="Normal_SCG Cost Tables REVISED" xfId="5"/>
    <cellStyle name="Percent" xfId="6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GIR/model/testimony/card_gir%20settle%204-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GIR/model/card_gir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GIR/data%20requests/SCGC%205/SCGC5%20Q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"/>
    </sheetNames>
    <sheetDataSet>
      <sheetData sheetId="0">
        <row r="15">
          <cell r="D15">
            <v>1.0150511788804391</v>
          </cell>
        </row>
        <row r="16">
          <cell r="D16">
            <v>1.0200120521606011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ndled Cost Allocation Detail"/>
      <sheetName val="Unbundled Transmission"/>
      <sheetName val="Unbundled Storage"/>
      <sheetName val="Interstate Capacity"/>
      <sheetName val="Co. Use Fuel Storage Calc."/>
    </sheetNames>
    <sheetDataSet>
      <sheetData sheetId="0">
        <row r="70">
          <cell r="E70">
            <v>254685.2</v>
          </cell>
          <cell r="G70">
            <v>78778</v>
          </cell>
          <cell r="I70">
            <v>4685.4760000000006</v>
          </cell>
          <cell r="K70">
            <v>120</v>
          </cell>
          <cell r="M70">
            <v>1604</v>
          </cell>
          <cell r="Q70">
            <v>145675.70399718449</v>
          </cell>
          <cell r="S70">
            <v>82734.664586833213</v>
          </cell>
          <cell r="U70">
            <v>211691.01984332484</v>
          </cell>
          <cell r="AI70">
            <v>166679.29262762738</v>
          </cell>
          <cell r="AO70">
            <v>3641.9489999999996</v>
          </cell>
        </row>
        <row r="77">
          <cell r="E77">
            <v>889565.78344757401</v>
          </cell>
          <cell r="G77">
            <v>176978.4145283316</v>
          </cell>
          <cell r="I77">
            <v>1148.8521032805888</v>
          </cell>
          <cell r="K77">
            <v>74.177446590506506</v>
          </cell>
          <cell r="M77">
            <v>2433.9898335140442</v>
          </cell>
          <cell r="Q77">
            <v>50763.557227706988</v>
          </cell>
          <cell r="S77">
            <v>7397.8953629673015</v>
          </cell>
          <cell r="T77">
            <v>0</v>
          </cell>
          <cell r="U77">
            <v>18928.801148847386</v>
          </cell>
          <cell r="AI77">
            <v>5201.66214602322</v>
          </cell>
          <cell r="AO77">
            <v>1022.8977092772873</v>
          </cell>
        </row>
        <row r="85">
          <cell r="E85">
            <v>1055862.574155631</v>
          </cell>
          <cell r="G85">
            <v>224712.38712946477</v>
          </cell>
          <cell r="I85">
            <v>4003.4864718865065</v>
          </cell>
          <cell r="K85">
            <v>135.25271876276634</v>
          </cell>
          <cell r="M85">
            <v>3283.4381656026744</v>
          </cell>
          <cell r="Q85">
            <v>74148.015090947083</v>
          </cell>
          <cell r="S85">
            <v>22157.892040958606</v>
          </cell>
          <cell r="U85">
            <v>56694.818153348824</v>
          </cell>
          <cell r="AI85">
            <v>31546.488826293877</v>
          </cell>
          <cell r="AO85">
            <v>1601.5928252049546</v>
          </cell>
        </row>
        <row r="190">
          <cell r="W190">
            <v>14642.569777937444</v>
          </cell>
        </row>
        <row r="222">
          <cell r="C222">
            <v>1.0150511788804391</v>
          </cell>
        </row>
        <row r="223">
          <cell r="C223">
            <v>1.0200120521606011</v>
          </cell>
        </row>
      </sheetData>
      <sheetData sheetId="1">
        <row r="5">
          <cell r="B5">
            <v>65553766.628845006</v>
          </cell>
        </row>
        <row r="27">
          <cell r="B27">
            <v>7.3358731617321343E-2</v>
          </cell>
        </row>
        <row r="42">
          <cell r="B42">
            <v>27204.352032967447</v>
          </cell>
        </row>
        <row r="52">
          <cell r="B52">
            <v>2493.262842274481</v>
          </cell>
        </row>
        <row r="58">
          <cell r="B58">
            <v>45732.640365565057</v>
          </cell>
        </row>
        <row r="68">
          <cell r="B68">
            <v>-210.67307263325583</v>
          </cell>
        </row>
      </sheetData>
      <sheetData sheetId="2">
        <row r="53">
          <cell r="D53">
            <v>1.5622272276865273E-2</v>
          </cell>
          <cell r="E53">
            <v>0.76481931075247833</v>
          </cell>
        </row>
        <row r="54">
          <cell r="D54">
            <v>7.4457682848849363E-2</v>
          </cell>
          <cell r="E54">
            <v>0.14510073412180696</v>
          </cell>
        </row>
        <row r="59">
          <cell r="H59">
            <v>26702.23712539906</v>
          </cell>
          <cell r="I59">
            <v>5065.9210026718283</v>
          </cell>
          <cell r="J59">
            <v>545.42244541914852</v>
          </cell>
          <cell r="K59">
            <v>2599.5508681411675</v>
          </cell>
        </row>
        <row r="62">
          <cell r="H62">
            <v>1191.0160543858794</v>
          </cell>
          <cell r="I62">
            <v>225.95834259495913</v>
          </cell>
          <cell r="J62">
            <v>24.327807661430299</v>
          </cell>
          <cell r="K62">
            <v>115.94934175773145</v>
          </cell>
        </row>
        <row r="70">
          <cell r="D70">
            <v>12698743.904593173</v>
          </cell>
        </row>
        <row r="74">
          <cell r="E74">
            <v>452735.49503520009</v>
          </cell>
        </row>
      </sheetData>
      <sheetData sheetId="3">
        <row r="29">
          <cell r="B29">
            <v>5.4420362926577921</v>
          </cell>
        </row>
        <row r="30">
          <cell r="B30">
            <v>1.2275368869867449</v>
          </cell>
        </row>
        <row r="32">
          <cell r="B32">
            <v>0.11115955299407561</v>
          </cell>
        </row>
        <row r="33">
          <cell r="B33">
            <v>0.62990413363309516</v>
          </cell>
        </row>
        <row r="38">
          <cell r="B38">
            <v>0</v>
          </cell>
        </row>
        <row r="39">
          <cell r="B39">
            <v>0</v>
          </cell>
        </row>
        <row r="41">
          <cell r="B41">
            <v>0</v>
          </cell>
        </row>
        <row r="42">
          <cell r="B42">
            <v>0</v>
          </cell>
        </row>
        <row r="45">
          <cell r="B45">
            <v>7.4106368662717088</v>
          </cell>
        </row>
        <row r="49">
          <cell r="B49">
            <v>-5.9626580992996256</v>
          </cell>
        </row>
        <row r="52">
          <cell r="B52">
            <v>107.32784578739326</v>
          </cell>
        </row>
        <row r="55">
          <cell r="B55">
            <v>3.3280429586863813</v>
          </cell>
        </row>
        <row r="56">
          <cell r="B56">
            <v>1.6962264735596804</v>
          </cell>
        </row>
        <row r="58">
          <cell r="B58">
            <v>6.7978923281304532E-2</v>
          </cell>
        </row>
        <row r="59">
          <cell r="B59">
            <v>0.87040974377226021</v>
          </cell>
        </row>
      </sheetData>
      <sheetData sheetId="4">
        <row r="6">
          <cell r="D6">
            <v>1911.7130566514697</v>
          </cell>
        </row>
        <row r="7">
          <cell r="D7">
            <v>2500.5206781001225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2"/>
  <sheetViews>
    <sheetView tabSelected="1" topLeftCell="A17" workbookViewId="0">
      <selection activeCell="B36" sqref="B36"/>
    </sheetView>
  </sheetViews>
  <sheetFormatPr defaultRowHeight="15" x14ac:dyDescent="0.2"/>
  <cols>
    <col min="1" max="1" width="47" style="2" customWidth="1"/>
    <col min="2" max="2" width="13.85546875" style="2" customWidth="1"/>
    <col min="3" max="3" width="15.85546875" style="2" customWidth="1"/>
    <col min="4" max="4" width="15.140625" style="2" customWidth="1"/>
    <col min="5" max="5" width="2.42578125" style="2" customWidth="1"/>
    <col min="6" max="6" width="14.5703125" style="2" customWidth="1"/>
    <col min="7" max="7" width="11" style="2" customWidth="1"/>
    <col min="8" max="8" width="15" style="2" customWidth="1"/>
    <col min="9" max="9" width="16.5703125" style="2" customWidth="1"/>
    <col min="10" max="10" width="17.5703125" style="2" customWidth="1"/>
    <col min="11" max="11" width="19.140625" style="2" customWidth="1"/>
    <col min="12" max="12" width="13.7109375" style="2" customWidth="1"/>
    <col min="13" max="13" width="13.28515625" style="2" customWidth="1"/>
    <col min="14" max="16384" width="9.140625" style="2"/>
  </cols>
  <sheetData>
    <row r="1" spans="1:12" ht="15.75" x14ac:dyDescent="0.25">
      <c r="A1" s="1"/>
    </row>
    <row r="2" spans="1:12" x14ac:dyDescent="0.2">
      <c r="A2" s="3" t="s">
        <v>0</v>
      </c>
    </row>
    <row r="3" spans="1:12" x14ac:dyDescent="0.2">
      <c r="A3" s="3"/>
    </row>
    <row r="4" spans="1:12" ht="15.75" x14ac:dyDescent="0.25">
      <c r="A4" s="4" t="s">
        <v>1</v>
      </c>
      <c r="B4" s="5"/>
      <c r="C4" s="5"/>
      <c r="D4" s="6"/>
    </row>
    <row r="5" spans="1:12" x14ac:dyDescent="0.2">
      <c r="A5" s="7" t="s">
        <v>2</v>
      </c>
      <c r="B5" s="8">
        <v>0.5</v>
      </c>
      <c r="C5" s="9"/>
      <c r="D5" s="10"/>
      <c r="E5" s="9"/>
      <c r="F5" s="9"/>
      <c r="G5" s="9"/>
      <c r="H5" s="9"/>
    </row>
    <row r="6" spans="1:12" x14ac:dyDescent="0.2">
      <c r="A6" s="7" t="s">
        <v>3</v>
      </c>
      <c r="B6" s="8">
        <v>0.01</v>
      </c>
      <c r="C6" s="9"/>
      <c r="D6" s="10"/>
      <c r="E6" s="9"/>
      <c r="F6" s="9"/>
      <c r="G6" s="9"/>
      <c r="H6" s="9"/>
    </row>
    <row r="7" spans="1:12" x14ac:dyDescent="0.2">
      <c r="A7" s="11"/>
      <c r="B7" s="9" t="s">
        <v>4</v>
      </c>
      <c r="C7" s="9" t="s">
        <v>5</v>
      </c>
      <c r="D7" s="10" t="s">
        <v>6</v>
      </c>
      <c r="F7" s="12"/>
      <c r="G7" s="12"/>
      <c r="H7" s="12"/>
    </row>
    <row r="8" spans="1:12" x14ac:dyDescent="0.2">
      <c r="A8" s="13" t="s">
        <v>7</v>
      </c>
      <c r="B8" s="14">
        <v>1.4999999999999999E-2</v>
      </c>
      <c r="C8" s="14">
        <v>8.5000000000000006E-2</v>
      </c>
      <c r="D8" s="15">
        <v>0.1</v>
      </c>
      <c r="F8" s="16"/>
      <c r="G8" s="16"/>
      <c r="H8" s="16"/>
    </row>
    <row r="9" spans="1:12" hidden="1" x14ac:dyDescent="0.2">
      <c r="A9" s="17" t="s">
        <v>8</v>
      </c>
      <c r="B9" s="8">
        <v>1</v>
      </c>
      <c r="C9" s="8">
        <v>0.74935473777244754</v>
      </c>
      <c r="D9" s="8">
        <v>0.25064526222755251</v>
      </c>
      <c r="F9" s="16"/>
      <c r="G9" s="16"/>
      <c r="H9" s="16"/>
    </row>
    <row r="10" spans="1:12" hidden="1" x14ac:dyDescent="0.2">
      <c r="A10" s="12" t="s">
        <v>9</v>
      </c>
      <c r="B10" s="8">
        <v>0.1</v>
      </c>
      <c r="C10" s="16">
        <v>2.0017221809512289E-2</v>
      </c>
      <c r="D10" s="16">
        <v>0.33912470255604243</v>
      </c>
      <c r="L10" s="18"/>
    </row>
    <row r="11" spans="1:12" x14ac:dyDescent="0.2">
      <c r="A11" s="12"/>
      <c r="B11" s="16"/>
      <c r="C11" s="16"/>
      <c r="D11" s="9"/>
      <c r="L11" s="18"/>
    </row>
    <row r="12" spans="1:12" ht="15.75" x14ac:dyDescent="0.25">
      <c r="B12" s="72" t="s">
        <v>10</v>
      </c>
      <c r="C12" s="72"/>
      <c r="D12" s="72"/>
      <c r="E12" s="72"/>
      <c r="F12" s="72" t="s">
        <v>11</v>
      </c>
      <c r="G12" s="72"/>
      <c r="H12" s="72"/>
      <c r="I12" s="72"/>
    </row>
    <row r="13" spans="1:12" s="19" customFormat="1" ht="47.25" x14ac:dyDescent="0.25">
      <c r="B13" s="19" t="s">
        <v>4</v>
      </c>
      <c r="C13" s="19" t="s">
        <v>12</v>
      </c>
      <c r="D13" s="20" t="s">
        <v>13</v>
      </c>
      <c r="F13" s="19" t="s">
        <v>14</v>
      </c>
      <c r="G13" s="19" t="s">
        <v>15</v>
      </c>
      <c r="H13" s="19" t="s">
        <v>16</v>
      </c>
      <c r="I13" s="20" t="s">
        <v>17</v>
      </c>
      <c r="K13" s="20"/>
    </row>
    <row r="14" spans="1:12" s="21" customFormat="1" ht="30" x14ac:dyDescent="0.2">
      <c r="A14" s="21" t="s">
        <v>18</v>
      </c>
      <c r="B14" s="21">
        <v>1055862.574155631</v>
      </c>
      <c r="C14" s="21">
        <v>232134.56448571669</v>
      </c>
      <c r="D14" s="21">
        <v>1287997.1386413479</v>
      </c>
      <c r="F14" s="21">
        <v>78852.710194307438</v>
      </c>
      <c r="G14" s="21">
        <v>74148.015090947083</v>
      </c>
      <c r="H14" s="21">
        <v>33148.081651498833</v>
      </c>
      <c r="I14" s="21">
        <v>186148.80693675336</v>
      </c>
    </row>
    <row r="15" spans="1:12" s="22" customFormat="1" x14ac:dyDescent="0.2"/>
    <row r="16" spans="1:12" s="21" customFormat="1" ht="30" x14ac:dyDescent="0.2">
      <c r="A16" s="21" t="s">
        <v>19</v>
      </c>
      <c r="B16" s="23">
        <v>889565.78688647994</v>
      </c>
      <c r="C16" s="23">
        <v>180635.43446906251</v>
      </c>
      <c r="D16" s="23">
        <v>1070201.2213555425</v>
      </c>
      <c r="E16" s="23"/>
      <c r="F16" s="21">
        <v>26326.696554928632</v>
      </c>
      <c r="G16" s="21">
        <v>50763.557387098888</v>
      </c>
      <c r="H16" s="21">
        <v>6224.5598598467977</v>
      </c>
      <c r="I16" s="21">
        <v>83314.813801874305</v>
      </c>
    </row>
    <row r="17" spans="1:11" s="22" customFormat="1" x14ac:dyDescent="0.2">
      <c r="A17" s="22" t="s">
        <v>20</v>
      </c>
      <c r="B17" s="24">
        <v>18132.245000396757</v>
      </c>
      <c r="C17" s="24">
        <v>5660.2531958779573</v>
      </c>
      <c r="D17" s="24">
        <v>23792.498196274715</v>
      </c>
      <c r="E17" s="24"/>
      <c r="F17" s="22">
        <v>18482.239737057916</v>
      </c>
      <c r="G17" s="22">
        <v>9220.8587312391774</v>
      </c>
      <c r="H17" s="22">
        <v>11028.029312922625</v>
      </c>
      <c r="I17" s="22">
        <v>38731.127781219722</v>
      </c>
    </row>
    <row r="18" spans="1:11" s="22" customFormat="1" x14ac:dyDescent="0.2">
      <c r="B18" s="24"/>
      <c r="C18" s="24"/>
      <c r="D18" s="24"/>
      <c r="E18" s="24"/>
      <c r="F18" s="24"/>
      <c r="G18" s="24"/>
      <c r="H18" s="24"/>
      <c r="I18" s="24"/>
      <c r="J18" s="24"/>
    </row>
    <row r="19" spans="1:11" s="22" customFormat="1" x14ac:dyDescent="0.2">
      <c r="A19" s="22" t="s">
        <v>21</v>
      </c>
      <c r="B19" s="24">
        <v>22673.33138962663</v>
      </c>
      <c r="C19" s="24">
        <v>6813.6443460178389</v>
      </c>
      <c r="D19" s="24">
        <v>29486.975735644468</v>
      </c>
      <c r="E19" s="24"/>
      <c r="F19" s="24">
        <v>20350.493697783986</v>
      </c>
      <c r="G19" s="24">
        <v>10069.000949603589</v>
      </c>
      <c r="H19" s="22">
        <v>11772.482964759776</v>
      </c>
      <c r="I19" s="22">
        <v>42191.977612147355</v>
      </c>
    </row>
    <row r="20" spans="1:11" s="22" customFormat="1" x14ac:dyDescent="0.2">
      <c r="A20" s="22" t="s">
        <v>22</v>
      </c>
      <c r="B20" s="24">
        <v>2705.1348771450866</v>
      </c>
      <c r="C20" s="24">
        <v>904.8174468856455</v>
      </c>
      <c r="D20" s="24">
        <v>3609.9523240307321</v>
      </c>
      <c r="E20" s="24"/>
      <c r="F20" s="24">
        <v>3127.2378123241297</v>
      </c>
      <c r="G20" s="24">
        <v>1547.2922165695045</v>
      </c>
      <c r="H20" s="22">
        <v>1809.064409889347</v>
      </c>
      <c r="I20" s="22">
        <v>6483.5944387829813</v>
      </c>
    </row>
    <row r="21" spans="1:11" s="22" customFormat="1" x14ac:dyDescent="0.2">
      <c r="A21" s="22" t="s">
        <v>23</v>
      </c>
      <c r="B21" s="24">
        <v>27247.659572288125</v>
      </c>
      <c r="C21" s="24">
        <v>7665.4718712265194</v>
      </c>
      <c r="D21" s="24">
        <v>34913.131443514641</v>
      </c>
      <c r="E21" s="24"/>
      <c r="F21" s="24"/>
      <c r="G21" s="24"/>
      <c r="H21" s="24"/>
      <c r="I21" s="24"/>
      <c r="J21" s="24"/>
    </row>
    <row r="22" spans="1:11" s="22" customFormat="1" x14ac:dyDescent="0.2">
      <c r="A22" s="22" t="s">
        <v>24</v>
      </c>
      <c r="F22" s="22">
        <v>5676.1409523012017</v>
      </c>
      <c r="G22" s="22">
        <v>2808.4364678105162</v>
      </c>
      <c r="H22" s="22">
        <v>3283.5701019782969</v>
      </c>
      <c r="I22" s="22">
        <v>11768.147522090016</v>
      </c>
    </row>
    <row r="23" spans="1:11" s="22" customFormat="1" x14ac:dyDescent="0.2">
      <c r="A23" s="22" t="s">
        <v>25</v>
      </c>
      <c r="B23" s="24">
        <v>1990.5640426580967</v>
      </c>
      <c r="C23" s="24">
        <v>559.99718568082676</v>
      </c>
      <c r="D23" s="24">
        <v>2550.5612283389237</v>
      </c>
      <c r="E23" s="24"/>
      <c r="F23" s="24">
        <v>871.6064114469209</v>
      </c>
      <c r="G23" s="24">
        <v>431.25272118068006</v>
      </c>
      <c r="H23" s="22">
        <v>501.76015862508342</v>
      </c>
      <c r="I23" s="22">
        <v>1804.6192912526844</v>
      </c>
    </row>
    <row r="24" spans="1:11" s="22" customFormat="1" x14ac:dyDescent="0.2">
      <c r="A24" s="22" t="s">
        <v>26</v>
      </c>
      <c r="B24" s="24">
        <v>1215.3438620473098</v>
      </c>
      <c r="C24" s="24">
        <v>341.90768435269058</v>
      </c>
      <c r="D24" s="24">
        <v>1557.2515464000003</v>
      </c>
      <c r="E24" s="24"/>
      <c r="F24" s="24">
        <v>202.36572239765516</v>
      </c>
      <c r="G24" s="24">
        <v>100.12634981976323</v>
      </c>
      <c r="H24" s="22">
        <v>117.06580955513239</v>
      </c>
      <c r="I24" s="22">
        <v>419.55788177255079</v>
      </c>
    </row>
    <row r="25" spans="1:11" s="22" customFormat="1" x14ac:dyDescent="0.2">
      <c r="B25" s="24"/>
      <c r="C25" s="24"/>
      <c r="D25" s="24"/>
      <c r="E25" s="24"/>
      <c r="F25" s="24"/>
      <c r="G25" s="24"/>
    </row>
    <row r="26" spans="1:11" s="22" customFormat="1" x14ac:dyDescent="0.2">
      <c r="A26" s="22" t="s">
        <v>27</v>
      </c>
      <c r="B26" s="24">
        <v>90221.061161041813</v>
      </c>
      <c r="C26" s="24">
        <v>25217.293173833339</v>
      </c>
      <c r="D26" s="24">
        <v>115438.35433487516</v>
      </c>
      <c r="E26" s="24"/>
      <c r="F26" s="24">
        <v>0</v>
      </c>
      <c r="G26" s="24">
        <v>0</v>
      </c>
      <c r="H26" s="22">
        <v>0</v>
      </c>
      <c r="I26" s="22">
        <v>0</v>
      </c>
    </row>
    <row r="27" spans="1:11" s="22" customFormat="1" x14ac:dyDescent="0.2">
      <c r="A27" s="22" t="s">
        <v>28</v>
      </c>
      <c r="B27" s="24">
        <v>-5664.3266905730861</v>
      </c>
      <c r="C27" s="24">
        <v>-1894.6122272097246</v>
      </c>
      <c r="D27" s="24">
        <v>-7558.9389177828098</v>
      </c>
      <c r="E27" s="24"/>
      <c r="F27" s="24">
        <v>3645.9096613661709</v>
      </c>
      <c r="G27" s="24">
        <v>1803.9202580359213</v>
      </c>
      <c r="H27" s="22">
        <v>2098.8512544130353</v>
      </c>
      <c r="I27" s="22">
        <v>7548.6811738151273</v>
      </c>
    </row>
    <row r="28" spans="1:11" s="22" customFormat="1" x14ac:dyDescent="0.2">
      <c r="A28" s="22" t="s">
        <v>29</v>
      </c>
      <c r="B28" s="24">
        <v>3463.9832490081662</v>
      </c>
      <c r="C28" s="24">
        <v>2617.999875190475</v>
      </c>
      <c r="D28" s="24">
        <v>6081.9831241986412</v>
      </c>
      <c r="E28" s="24"/>
      <c r="F28" s="24">
        <v>0</v>
      </c>
      <c r="G28" s="24">
        <v>0</v>
      </c>
      <c r="H28" s="24">
        <v>0</v>
      </c>
      <c r="I28" s="24">
        <v>0</v>
      </c>
      <c r="J28" s="24"/>
      <c r="K28" s="24"/>
    </row>
    <row r="29" spans="1:11" s="22" customFormat="1" x14ac:dyDescent="0.2">
      <c r="B29" s="24"/>
      <c r="C29" s="24"/>
      <c r="D29" s="24"/>
      <c r="E29" s="24"/>
      <c r="F29" s="24"/>
      <c r="G29" s="24"/>
      <c r="H29" s="24"/>
      <c r="I29" s="24"/>
      <c r="J29" s="24"/>
    </row>
    <row r="30" spans="1:11" s="25" customFormat="1" ht="15.75" x14ac:dyDescent="0.25">
      <c r="A30" s="22" t="s">
        <v>30</v>
      </c>
      <c r="B30" s="22">
        <v>536.01274967313736</v>
      </c>
      <c r="C30" s="22">
        <v>179.28632385578115</v>
      </c>
      <c r="D30" s="22">
        <v>715.29907352891848</v>
      </c>
      <c r="E30" s="22"/>
      <c r="F30" s="22">
        <v>619.65092862013364</v>
      </c>
      <c r="G30" s="22">
        <v>306.5903894694348</v>
      </c>
      <c r="H30" s="22">
        <v>358.45960838151319</v>
      </c>
      <c r="I30" s="22">
        <v>1284.7009264710816</v>
      </c>
    </row>
    <row r="31" spans="1:11" s="22" customFormat="1" x14ac:dyDescent="0.2"/>
    <row r="32" spans="1:11" s="22" customFormat="1" x14ac:dyDescent="0.2">
      <c r="A32" s="22" t="s">
        <v>6</v>
      </c>
      <c r="B32" s="22">
        <v>1052086.7960997918</v>
      </c>
      <c r="C32" s="22">
        <v>228701.49334477386</v>
      </c>
      <c r="D32" s="22">
        <v>1280788.289444566</v>
      </c>
      <c r="F32" s="22">
        <v>79302.341478226735</v>
      </c>
      <c r="G32" s="22">
        <v>77051.035470827483</v>
      </c>
      <c r="H32" s="22">
        <v>37193.843480371601</v>
      </c>
      <c r="I32" s="22">
        <v>193547.22042942583</v>
      </c>
    </row>
    <row r="33" spans="1:11" s="22" customFormat="1" x14ac:dyDescent="0.2"/>
    <row r="34" spans="1:11" s="22" customFormat="1" ht="15.75" x14ac:dyDescent="0.25">
      <c r="A34" s="25" t="s">
        <v>31</v>
      </c>
      <c r="B34" s="25">
        <v>-3775.7780558392406</v>
      </c>
      <c r="C34" s="25">
        <v>-3433.0711409428332</v>
      </c>
      <c r="D34" s="25">
        <v>-7208.84919678187</v>
      </c>
      <c r="E34" s="25"/>
      <c r="F34" s="25">
        <v>449.63128391929786</v>
      </c>
      <c r="G34" s="25">
        <v>2903.0203798803996</v>
      </c>
      <c r="H34" s="25">
        <v>4045.7618288727681</v>
      </c>
      <c r="I34" s="25">
        <v>7398.4134926724655</v>
      </c>
    </row>
    <row r="36" spans="1:11" x14ac:dyDescent="0.2">
      <c r="A36" s="22" t="s">
        <v>32</v>
      </c>
      <c r="B36" s="21">
        <v>254685.2</v>
      </c>
      <c r="C36" s="21">
        <v>85187.475999999995</v>
      </c>
      <c r="D36" s="22">
        <v>339872.67599999998</v>
      </c>
      <c r="E36" s="22"/>
      <c r="F36" s="22">
        <v>294425.68443015806</v>
      </c>
      <c r="G36" s="22">
        <v>145675.70399718449</v>
      </c>
      <c r="H36" s="22">
        <v>170321.24162762737</v>
      </c>
      <c r="I36" s="22">
        <v>610422.63005496992</v>
      </c>
    </row>
    <row r="37" spans="1:11" x14ac:dyDescent="0.2">
      <c r="A37" s="22"/>
      <c r="I37" s="26"/>
    </row>
    <row r="38" spans="1:11" x14ac:dyDescent="0.2">
      <c r="A38" s="2" t="s">
        <v>33</v>
      </c>
      <c r="D38" s="27"/>
      <c r="E38" s="27"/>
      <c r="F38" s="27"/>
      <c r="G38" s="27"/>
      <c r="H38" s="27"/>
      <c r="I38" s="26"/>
      <c r="J38" s="28"/>
    </row>
    <row r="39" spans="1:11" x14ac:dyDescent="0.2">
      <c r="A39" s="2" t="s">
        <v>34</v>
      </c>
      <c r="D39" s="27"/>
      <c r="E39" s="27"/>
      <c r="F39" s="27"/>
      <c r="G39" s="27"/>
      <c r="H39" s="27"/>
      <c r="I39" s="26"/>
      <c r="J39" s="28"/>
    </row>
    <row r="40" spans="1:11" x14ac:dyDescent="0.2">
      <c r="A40" s="2" t="s">
        <v>35</v>
      </c>
      <c r="D40" s="29"/>
      <c r="E40" s="29"/>
      <c r="F40" s="29"/>
      <c r="G40" s="29"/>
      <c r="H40" s="29"/>
      <c r="J40" s="26"/>
    </row>
    <row r="41" spans="1:11" x14ac:dyDescent="0.2">
      <c r="D41" s="29"/>
      <c r="E41" s="29"/>
      <c r="F41" s="29"/>
      <c r="G41" s="29"/>
      <c r="H41" s="29"/>
      <c r="J41" s="26"/>
    </row>
    <row r="42" spans="1:11" x14ac:dyDescent="0.2">
      <c r="D42" s="28"/>
      <c r="E42" s="28"/>
      <c r="F42" s="28"/>
      <c r="G42" s="28"/>
      <c r="H42" s="28"/>
    </row>
    <row r="43" spans="1:11" x14ac:dyDescent="0.2">
      <c r="A43" s="30"/>
    </row>
    <row r="44" spans="1:11" x14ac:dyDescent="0.2">
      <c r="A44" s="30"/>
    </row>
    <row r="45" spans="1:11" x14ac:dyDescent="0.2">
      <c r="A45" s="30"/>
      <c r="D45" s="31"/>
      <c r="E45" s="31"/>
      <c r="F45" s="31"/>
      <c r="G45" s="31"/>
      <c r="H45" s="31"/>
      <c r="I45" s="31"/>
      <c r="J45" s="31"/>
      <c r="K45" s="31"/>
    </row>
    <row r="46" spans="1:11" x14ac:dyDescent="0.2">
      <c r="A46" s="30"/>
      <c r="C46" s="31"/>
      <c r="D46" s="31"/>
      <c r="E46" s="31"/>
      <c r="F46" s="31"/>
      <c r="G46" s="31"/>
      <c r="H46" s="31"/>
      <c r="I46" s="31"/>
      <c r="J46" s="31"/>
    </row>
    <row r="47" spans="1:11" x14ac:dyDescent="0.2">
      <c r="A47" s="30"/>
      <c r="C47" s="22"/>
      <c r="D47" s="22"/>
      <c r="E47" s="22"/>
      <c r="F47" s="22"/>
      <c r="G47" s="22"/>
      <c r="H47" s="22"/>
      <c r="I47" s="31"/>
      <c r="J47" s="31"/>
      <c r="K47" s="31"/>
    </row>
    <row r="48" spans="1:11" x14ac:dyDescent="0.2">
      <c r="A48" s="30"/>
      <c r="C48" s="32"/>
      <c r="D48" s="33"/>
      <c r="E48" s="33"/>
      <c r="F48" s="33"/>
      <c r="G48" s="33"/>
      <c r="H48" s="33"/>
      <c r="I48" s="31"/>
      <c r="J48" s="31"/>
      <c r="K48" s="31"/>
    </row>
    <row r="49" spans="1:11" x14ac:dyDescent="0.2">
      <c r="A49" s="30"/>
      <c r="C49" s="31"/>
      <c r="D49" s="22"/>
      <c r="E49" s="22"/>
      <c r="F49" s="22"/>
      <c r="G49" s="22"/>
      <c r="H49" s="22"/>
      <c r="I49" s="22"/>
      <c r="J49" s="22"/>
      <c r="K49" s="22"/>
    </row>
    <row r="50" spans="1:11" x14ac:dyDescent="0.2">
      <c r="A50" s="34"/>
      <c r="C50" s="22"/>
      <c r="D50" s="35"/>
      <c r="E50" s="35"/>
      <c r="F50" s="35"/>
      <c r="G50" s="35"/>
      <c r="H50" s="35"/>
      <c r="I50" s="35"/>
      <c r="J50" s="35"/>
      <c r="K50" s="35"/>
    </row>
    <row r="51" spans="1:11" x14ac:dyDescent="0.2">
      <c r="B51" s="24"/>
      <c r="C51" s="24"/>
      <c r="D51" s="24"/>
      <c r="E51" s="24"/>
      <c r="F51" s="24"/>
    </row>
    <row r="52" spans="1:11" x14ac:dyDescent="0.2">
      <c r="A52" s="36"/>
      <c r="C52" s="28"/>
    </row>
    <row r="53" spans="1:11" x14ac:dyDescent="0.2">
      <c r="A53" s="36"/>
      <c r="C53" s="37"/>
    </row>
    <row r="54" spans="1:11" x14ac:dyDescent="0.2">
      <c r="A54" s="36"/>
      <c r="C54" s="38"/>
    </row>
    <row r="55" spans="1:11" x14ac:dyDescent="0.2">
      <c r="A55" s="36"/>
    </row>
    <row r="56" spans="1:11" x14ac:dyDescent="0.2">
      <c r="A56" s="36"/>
      <c r="C56" s="35"/>
    </row>
    <row r="57" spans="1:11" x14ac:dyDescent="0.2">
      <c r="A57" s="36"/>
      <c r="C57" s="37"/>
    </row>
    <row r="58" spans="1:11" x14ac:dyDescent="0.2">
      <c r="A58" s="36"/>
    </row>
    <row r="59" spans="1:11" x14ac:dyDescent="0.2">
      <c r="A59" s="36"/>
      <c r="C59" s="39"/>
      <c r="D59" s="35"/>
      <c r="E59" s="35"/>
      <c r="F59" s="35"/>
      <c r="G59" s="35"/>
      <c r="H59" s="35"/>
      <c r="I59" s="35"/>
      <c r="J59" s="35"/>
      <c r="K59" s="35"/>
    </row>
    <row r="60" spans="1:11" x14ac:dyDescent="0.2">
      <c r="A60" s="36"/>
      <c r="C60" s="38"/>
      <c r="D60" s="38"/>
      <c r="E60" s="38"/>
      <c r="F60" s="38"/>
      <c r="G60" s="38"/>
      <c r="H60" s="38"/>
      <c r="I60" s="38"/>
      <c r="J60" s="38"/>
      <c r="K60" s="38"/>
    </row>
    <row r="62" spans="1:11" x14ac:dyDescent="0.2">
      <c r="A62" s="36"/>
      <c r="C62" s="39"/>
    </row>
  </sheetData>
  <pageMargins left="0.75" right="0.75" top="1.6" bottom="0.76" header="0.5" footer="0.5"/>
  <pageSetup scale="71" orientation="landscape" horizontalDpi="300" verticalDpi="300" r:id="rId1"/>
  <headerFooter alignWithMargins="0">
    <oddHeader>&amp;L&amp;F &amp;A&amp;C&amp;"Arial,Bold"&amp;12SOUTHERN CALIFORNIA GAS COMPANY
I.99-07-003
SCGC DATA REQUEST #5,
RESPONSE TO QUESTION 23&amp;U
ATTACHMENT 8&amp;U
Estimated Cost Allocation Effects of Comprehensive Settlement in 2002</oddHeader>
    <oddFooter>&amp;L&amp;D&amp;CPage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workbookViewId="0">
      <selection activeCell="A21" sqref="A21"/>
    </sheetView>
  </sheetViews>
  <sheetFormatPr defaultRowHeight="15" x14ac:dyDescent="0.2"/>
  <cols>
    <col min="1" max="1" width="48.140625" style="2" customWidth="1"/>
    <col min="2" max="2" width="13.28515625" style="2" customWidth="1"/>
    <col min="3" max="3" width="15.85546875" style="2" customWidth="1"/>
    <col min="4" max="4" width="18.140625" style="2" customWidth="1"/>
    <col min="5" max="5" width="2.28515625" style="2" customWidth="1"/>
    <col min="6" max="6" width="14.5703125" style="2" customWidth="1"/>
    <col min="7" max="7" width="11" style="2" customWidth="1"/>
    <col min="8" max="8" width="15" style="2" customWidth="1"/>
    <col min="9" max="9" width="17.42578125" style="2" customWidth="1"/>
    <col min="10" max="10" width="15.5703125" style="2" customWidth="1"/>
    <col min="11" max="11" width="19.140625" style="2" customWidth="1"/>
    <col min="12" max="12" width="13.7109375" style="2" customWidth="1"/>
    <col min="13" max="13" width="13.28515625" style="2" customWidth="1"/>
    <col min="14" max="16384" width="9.140625" style="2"/>
  </cols>
  <sheetData>
    <row r="1" spans="1:12" ht="15.75" x14ac:dyDescent="0.25">
      <c r="A1" s="1"/>
    </row>
    <row r="2" spans="1:12" x14ac:dyDescent="0.2">
      <c r="A2" s="3" t="s">
        <v>36</v>
      </c>
    </row>
    <row r="3" spans="1:12" x14ac:dyDescent="0.2">
      <c r="A3" s="3"/>
    </row>
    <row r="4" spans="1:12" ht="15.75" x14ac:dyDescent="0.25">
      <c r="A4" s="4" t="s">
        <v>1</v>
      </c>
      <c r="B4" s="5"/>
      <c r="C4" s="5"/>
      <c r="D4" s="6"/>
    </row>
    <row r="5" spans="1:12" x14ac:dyDescent="0.2">
      <c r="A5" s="7" t="s">
        <v>2</v>
      </c>
      <c r="B5" s="8">
        <v>0.5</v>
      </c>
      <c r="C5" s="9"/>
      <c r="D5" s="10"/>
      <c r="E5" s="9"/>
      <c r="F5" s="9"/>
      <c r="G5" s="9"/>
      <c r="H5" s="9"/>
    </row>
    <row r="6" spans="1:12" x14ac:dyDescent="0.2">
      <c r="A6" s="7" t="s">
        <v>3</v>
      </c>
      <c r="B6" s="8">
        <v>0.01</v>
      </c>
      <c r="C6" s="9"/>
      <c r="D6" s="10"/>
      <c r="E6" s="9"/>
      <c r="F6" s="9"/>
      <c r="G6" s="9"/>
      <c r="H6" s="9"/>
    </row>
    <row r="7" spans="1:12" x14ac:dyDescent="0.2">
      <c r="A7" s="11"/>
      <c r="B7" s="9" t="s">
        <v>4</v>
      </c>
      <c r="C7" s="9" t="s">
        <v>5</v>
      </c>
      <c r="D7" s="10" t="s">
        <v>6</v>
      </c>
      <c r="F7" s="12"/>
      <c r="G7" s="12"/>
      <c r="H7" s="12"/>
    </row>
    <row r="8" spans="1:12" x14ac:dyDescent="0.2">
      <c r="A8" s="13" t="s">
        <v>37</v>
      </c>
      <c r="B8" s="14">
        <v>1.4999999999999999E-2</v>
      </c>
      <c r="C8" s="14">
        <v>8.5000000000000006E-2</v>
      </c>
      <c r="D8" s="15">
        <v>0.1</v>
      </c>
      <c r="F8" s="16"/>
      <c r="G8" s="16"/>
      <c r="H8" s="16"/>
    </row>
    <row r="9" spans="1:12" hidden="1" x14ac:dyDescent="0.2">
      <c r="A9" s="17" t="s">
        <v>8</v>
      </c>
      <c r="B9" s="8">
        <v>1</v>
      </c>
      <c r="C9" s="8">
        <v>0.74935473777244754</v>
      </c>
      <c r="D9" s="8">
        <v>0.25064526222755251</v>
      </c>
      <c r="F9" s="16"/>
      <c r="G9" s="16"/>
      <c r="H9" s="16"/>
    </row>
    <row r="10" spans="1:12" hidden="1" x14ac:dyDescent="0.2">
      <c r="A10" s="12" t="s">
        <v>9</v>
      </c>
      <c r="B10" s="8">
        <v>0.1</v>
      </c>
      <c r="C10" s="16">
        <v>2.0017221809512289E-2</v>
      </c>
      <c r="D10" s="16">
        <v>0.33912470255604243</v>
      </c>
      <c r="L10" s="18"/>
    </row>
    <row r="11" spans="1:12" ht="15.75" x14ac:dyDescent="0.25">
      <c r="A11" s="12"/>
      <c r="B11" s="72"/>
      <c r="C11" s="72"/>
      <c r="D11" s="72"/>
      <c r="E11" s="72"/>
      <c r="L11" s="18"/>
    </row>
    <row r="12" spans="1:12" ht="15.75" x14ac:dyDescent="0.25">
      <c r="B12" s="72" t="s">
        <v>10</v>
      </c>
      <c r="C12" s="72"/>
      <c r="D12" s="72"/>
      <c r="F12" s="72" t="s">
        <v>38</v>
      </c>
      <c r="G12" s="72"/>
      <c r="H12" s="72"/>
    </row>
    <row r="13" spans="1:12" s="19" customFormat="1" ht="45.75" x14ac:dyDescent="0.25">
      <c r="B13" s="19" t="s">
        <v>4</v>
      </c>
      <c r="C13" s="19" t="s">
        <v>12</v>
      </c>
      <c r="D13" s="20" t="s">
        <v>13</v>
      </c>
      <c r="F13" s="19" t="s">
        <v>14</v>
      </c>
      <c r="G13" s="19" t="s">
        <v>15</v>
      </c>
      <c r="H13" s="19" t="s">
        <v>16</v>
      </c>
      <c r="I13" s="20" t="s">
        <v>17</v>
      </c>
    </row>
    <row r="14" spans="1:12" s="40" customFormat="1" ht="30" x14ac:dyDescent="0.2">
      <c r="A14" s="40" t="s">
        <v>39</v>
      </c>
      <c r="B14" s="40">
        <f>'Attachment 8'!B14/'Attachment 8'!B36*10</f>
        <v>41.457555215443655</v>
      </c>
      <c r="C14" s="40">
        <f>'Attachment 8'!C14/'Attachment 8'!C36*10</f>
        <v>27.249846501581608</v>
      </c>
      <c r="D14" s="40">
        <f>'Attachment 8'!D14/'Attachment 8'!D36*10</f>
        <v>37.896460339205028</v>
      </c>
      <c r="F14" s="40">
        <f>'Attachment 8'!F14/'Attachment 8'!F36*10</f>
        <v>2.6781872086642773</v>
      </c>
      <c r="G14" s="40">
        <f>'Attachment 8'!G14/'Attachment 8'!G36*10</f>
        <v>5.0899369665912273</v>
      </c>
      <c r="H14" s="40">
        <f>'Attachment 8'!H14/'Attachment 8'!H36*10</f>
        <v>1.9462094883015442</v>
      </c>
      <c r="I14" s="40">
        <f>'Attachment 8'!I14/'Attachment 8'!I36*10</f>
        <v>3.0495069771576166</v>
      </c>
    </row>
    <row r="15" spans="1:12" s="28" customFormat="1" x14ac:dyDescent="0.2"/>
    <row r="16" spans="1:12" s="28" customFormat="1" ht="45" x14ac:dyDescent="0.2">
      <c r="A16" s="40" t="s">
        <v>40</v>
      </c>
      <c r="B16" s="40">
        <f>'Attachment 8'!B32/'Attachment 8'!B36*10</f>
        <v>41.309302468293865</v>
      </c>
      <c r="C16" s="40">
        <f>'Attachment 8'!C32/'Attachment 8'!C36*10</f>
        <v>26.846844640023594</v>
      </c>
      <c r="D16" s="40">
        <f>'Attachment 8'!D32/'Attachment 8'!D36*10</f>
        <v>37.684355933472162</v>
      </c>
      <c r="E16" s="40"/>
      <c r="F16" s="40">
        <f>'Attachment 8'!F32/'Attachment 8'!F36*10</f>
        <v>2.6934586780943146</v>
      </c>
      <c r="G16" s="40">
        <f>'Attachment 8'!G32/'Attachment 8'!G36*10</f>
        <v>5.2892166199736828</v>
      </c>
      <c r="H16" s="40">
        <f>'Attachment 8'!H32/'Attachment 8'!H36*10</f>
        <v>2.183746614628864</v>
      </c>
      <c r="I16" s="40">
        <f>'Attachment 8'!I32/'Attachment 8'!I36*10</f>
        <v>3.170708471473223</v>
      </c>
    </row>
    <row r="17" spans="1:9" s="28" customFormat="1" x14ac:dyDescent="0.2">
      <c r="B17" s="41"/>
      <c r="C17" s="41"/>
      <c r="D17" s="41"/>
      <c r="E17" s="41"/>
      <c r="F17" s="41"/>
      <c r="G17" s="41"/>
      <c r="H17" s="41"/>
    </row>
    <row r="18" spans="1:9" s="42" customFormat="1" ht="15.75" x14ac:dyDescent="0.25">
      <c r="A18" s="42" t="s">
        <v>41</v>
      </c>
      <c r="B18" s="42">
        <f>B16-B14</f>
        <v>-0.14825274714979031</v>
      </c>
      <c r="C18" s="42">
        <f>C16-C14</f>
        <v>-0.40300186155801399</v>
      </c>
      <c r="D18" s="42">
        <f>D16-D14</f>
        <v>-0.21210440573286604</v>
      </c>
      <c r="F18" s="42">
        <f>F16-F14</f>
        <v>1.5271469430037321E-2</v>
      </c>
      <c r="G18" s="42">
        <f>G16-G14</f>
        <v>0.19927965338245546</v>
      </c>
      <c r="H18" s="42">
        <f>H16-H14</f>
        <v>0.23753712632731983</v>
      </c>
      <c r="I18" s="42">
        <f>I16-I14</f>
        <v>0.12120149431560634</v>
      </c>
    </row>
    <row r="19" spans="1:9" s="22" customFormat="1" x14ac:dyDescent="0.2"/>
    <row r="20" spans="1:9" s="22" customFormat="1" x14ac:dyDescent="0.2">
      <c r="A20" s="2" t="s">
        <v>42</v>
      </c>
    </row>
    <row r="21" spans="1:9" s="22" customFormat="1" x14ac:dyDescent="0.2">
      <c r="A21" s="22" t="s">
        <v>43</v>
      </c>
    </row>
    <row r="22" spans="1:9" s="22" customFormat="1" x14ac:dyDescent="0.2"/>
    <row r="23" spans="1:9" s="22" customFormat="1" x14ac:dyDescent="0.2"/>
    <row r="24" spans="1:9" s="22" customFormat="1" x14ac:dyDescent="0.2"/>
    <row r="25" spans="1:9" s="22" customFormat="1" ht="15.75" x14ac:dyDescent="0.25">
      <c r="A25" s="25"/>
    </row>
    <row r="26" spans="1:9" s="22" customFormat="1" x14ac:dyDescent="0.2">
      <c r="A26" s="34"/>
    </row>
    <row r="27" spans="1:9" s="22" customFormat="1" x14ac:dyDescent="0.2">
      <c r="A27" s="34"/>
    </row>
    <row r="28" spans="1:9" s="22" customFormat="1" x14ac:dyDescent="0.2">
      <c r="A28" s="34"/>
    </row>
    <row r="29" spans="1:9" s="22" customFormat="1" x14ac:dyDescent="0.2">
      <c r="A29" s="34"/>
    </row>
    <row r="30" spans="1:9" s="22" customFormat="1" x14ac:dyDescent="0.2">
      <c r="A30" s="34"/>
    </row>
    <row r="31" spans="1:9" s="22" customFormat="1" x14ac:dyDescent="0.2">
      <c r="A31" s="34"/>
    </row>
    <row r="32" spans="1:9" s="22" customFormat="1" x14ac:dyDescent="0.2">
      <c r="A32" s="34"/>
    </row>
    <row r="33" spans="1:11" s="22" customFormat="1" x14ac:dyDescent="0.2">
      <c r="A33" s="34"/>
    </row>
    <row r="34" spans="1:11" s="22" customFormat="1" x14ac:dyDescent="0.2">
      <c r="A34" s="34"/>
    </row>
    <row r="35" spans="1:11" x14ac:dyDescent="0.2">
      <c r="A35" s="30"/>
      <c r="C35" s="32"/>
      <c r="D35" s="33"/>
      <c r="E35" s="33"/>
      <c r="F35" s="33"/>
      <c r="G35" s="33"/>
      <c r="H35" s="33"/>
      <c r="I35" s="31"/>
      <c r="J35" s="31"/>
      <c r="K35" s="31"/>
    </row>
    <row r="36" spans="1:11" x14ac:dyDescent="0.2">
      <c r="A36" s="30"/>
      <c r="C36" s="31"/>
      <c r="D36" s="22"/>
      <c r="E36" s="22"/>
      <c r="F36" s="22"/>
      <c r="G36" s="22"/>
      <c r="H36" s="22"/>
      <c r="I36" s="22"/>
      <c r="J36" s="22"/>
      <c r="K36" s="22"/>
    </row>
    <row r="37" spans="1:11" x14ac:dyDescent="0.2">
      <c r="A37" s="34"/>
      <c r="C37" s="22"/>
      <c r="D37" s="35"/>
      <c r="E37" s="35"/>
      <c r="F37" s="35"/>
      <c r="G37" s="35"/>
      <c r="H37" s="35"/>
      <c r="I37" s="35"/>
      <c r="J37" s="35"/>
      <c r="K37" s="35"/>
    </row>
    <row r="38" spans="1:11" x14ac:dyDescent="0.2">
      <c r="B38" s="24"/>
      <c r="C38" s="24"/>
      <c r="D38" s="24"/>
      <c r="E38" s="24"/>
      <c r="F38" s="24"/>
    </row>
    <row r="39" spans="1:11" x14ac:dyDescent="0.2">
      <c r="A39" s="36"/>
      <c r="C39" s="28"/>
    </row>
    <row r="40" spans="1:11" x14ac:dyDescent="0.2">
      <c r="A40" s="36"/>
      <c r="C40" s="37"/>
    </row>
    <row r="41" spans="1:11" x14ac:dyDescent="0.2">
      <c r="A41" s="36"/>
      <c r="C41" s="38"/>
    </row>
    <row r="42" spans="1:11" x14ac:dyDescent="0.2">
      <c r="A42" s="36"/>
    </row>
    <row r="43" spans="1:11" x14ac:dyDescent="0.2">
      <c r="A43" s="36"/>
      <c r="C43" s="35"/>
    </row>
    <row r="44" spans="1:11" x14ac:dyDescent="0.2">
      <c r="A44" s="36"/>
      <c r="C44" s="37"/>
    </row>
    <row r="45" spans="1:11" x14ac:dyDescent="0.2">
      <c r="A45" s="36"/>
    </row>
    <row r="46" spans="1:11" x14ac:dyDescent="0.2">
      <c r="A46" s="36"/>
      <c r="C46" s="39"/>
      <c r="D46" s="35"/>
      <c r="E46" s="35"/>
      <c r="F46" s="35"/>
      <c r="G46" s="35"/>
      <c r="H46" s="35"/>
      <c r="I46" s="35"/>
      <c r="J46" s="35"/>
      <c r="K46" s="35"/>
    </row>
    <row r="47" spans="1:11" x14ac:dyDescent="0.2">
      <c r="A47" s="36"/>
      <c r="C47" s="38"/>
      <c r="D47" s="38"/>
      <c r="E47" s="38"/>
      <c r="F47" s="38"/>
      <c r="G47" s="38"/>
      <c r="H47" s="38"/>
      <c r="I47" s="38"/>
      <c r="J47" s="38"/>
      <c r="K47" s="38"/>
    </row>
    <row r="49" spans="1:3" x14ac:dyDescent="0.2">
      <c r="A49" s="36"/>
      <c r="C49" s="39"/>
    </row>
  </sheetData>
  <pageMargins left="0.75" right="0.75" top="1" bottom="1" header="0.5" footer="0.5"/>
  <pageSetup scale="79" orientation="landscape" horizontalDpi="300" verticalDpi="300" r:id="rId1"/>
  <headerFooter alignWithMargins="0">
    <oddHeader>&amp;C&amp;"Arial,Bold"&amp;12Exhibit 9
Estimated Rate Impacts of Comprehensive Settlement in 2002
 Including Estimated Restructured Services</oddHeader>
    <oddFooter>&amp;LDRAFT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"/>
  <sheetViews>
    <sheetView topLeftCell="A9" zoomScale="75" workbookViewId="0">
      <selection activeCell="A37" sqref="A37"/>
    </sheetView>
  </sheetViews>
  <sheetFormatPr defaultColWidth="11.42578125" defaultRowHeight="15" x14ac:dyDescent="0.2"/>
  <cols>
    <col min="1" max="1" width="9.140625" style="44" customWidth="1"/>
    <col min="2" max="2" width="55.7109375" style="44" customWidth="1"/>
    <col min="3" max="3" width="13.85546875" style="44" customWidth="1"/>
    <col min="4" max="4" width="19" style="44" customWidth="1"/>
    <col min="5" max="5" width="16.7109375" style="44" customWidth="1"/>
    <col min="6" max="6" width="19" style="44" customWidth="1"/>
    <col min="7" max="7" width="13.85546875" style="44" customWidth="1"/>
    <col min="8" max="8" width="19" style="44" customWidth="1"/>
    <col min="9" max="9" width="13.28515625" style="44" customWidth="1"/>
    <col min="10" max="10" width="2.28515625" style="44" customWidth="1"/>
    <col min="11" max="11" width="16" style="44" customWidth="1"/>
    <col min="12" max="12" width="15.140625" style="44" customWidth="1"/>
    <col min="13" max="13" width="17.85546875" style="44" customWidth="1"/>
    <col min="14" max="14" width="17.5703125" style="44" customWidth="1"/>
    <col min="15" max="15" width="1.85546875" style="44" customWidth="1"/>
    <col min="16" max="16" width="10" style="44" customWidth="1"/>
    <col min="17" max="17" width="15.42578125" style="44" customWidth="1"/>
    <col min="18" max="18" width="3" style="44" customWidth="1"/>
    <col min="19" max="19" width="11.42578125" style="44"/>
    <col min="20" max="20" width="15" style="44" customWidth="1"/>
    <col min="21" max="16384" width="11.42578125" style="44"/>
  </cols>
  <sheetData>
    <row r="1" spans="1:20" ht="15.75" x14ac:dyDescent="0.25">
      <c r="B1" s="43" t="s">
        <v>44</v>
      </c>
    </row>
    <row r="2" spans="1:20" x14ac:dyDescent="0.2">
      <c r="B2" s="45" t="s">
        <v>0</v>
      </c>
    </row>
    <row r="3" spans="1:20" x14ac:dyDescent="0.2">
      <c r="B3" s="45"/>
    </row>
    <row r="4" spans="1:20" ht="15.75" x14ac:dyDescent="0.25">
      <c r="B4" s="46" t="s">
        <v>1</v>
      </c>
      <c r="C4" s="47"/>
      <c r="D4" s="47"/>
      <c r="E4" s="48"/>
    </row>
    <row r="5" spans="1:20" x14ac:dyDescent="0.2">
      <c r="B5" s="49" t="s">
        <v>2</v>
      </c>
      <c r="C5" s="8">
        <v>0.5</v>
      </c>
      <c r="D5" s="50"/>
      <c r="E5" s="51"/>
      <c r="F5" s="50"/>
      <c r="G5" s="50"/>
      <c r="H5" s="50"/>
      <c r="I5" s="50"/>
      <c r="J5" s="50"/>
      <c r="K5" s="50"/>
    </row>
    <row r="6" spans="1:20" x14ac:dyDescent="0.2">
      <c r="B6" s="49" t="s">
        <v>3</v>
      </c>
      <c r="C6" s="8">
        <v>0.01</v>
      </c>
      <c r="D6" s="50"/>
      <c r="E6" s="51"/>
      <c r="F6" s="50"/>
      <c r="G6" s="50"/>
      <c r="H6" s="50"/>
      <c r="I6" s="50"/>
      <c r="J6" s="50"/>
      <c r="K6" s="50"/>
    </row>
    <row r="7" spans="1:20" x14ac:dyDescent="0.2">
      <c r="B7" s="52"/>
      <c r="C7" s="50" t="s">
        <v>6</v>
      </c>
      <c r="D7" s="50" t="s">
        <v>4</v>
      </c>
      <c r="E7" s="51" t="s">
        <v>5</v>
      </c>
    </row>
    <row r="8" spans="1:20" x14ac:dyDescent="0.2">
      <c r="B8" s="53" t="s">
        <v>37</v>
      </c>
      <c r="C8" s="54">
        <v>0.1</v>
      </c>
      <c r="D8" s="14">
        <f>C8-E8</f>
        <v>1.4999999999999999E-2</v>
      </c>
      <c r="E8" s="55">
        <f>MIN(85%*C8,E9)</f>
        <v>8.5000000000000006E-2</v>
      </c>
    </row>
    <row r="9" spans="1:20" x14ac:dyDescent="0.2">
      <c r="B9" s="17" t="s">
        <v>8</v>
      </c>
      <c r="C9" s="8">
        <f>SUM(D9:E9)</f>
        <v>1</v>
      </c>
      <c r="D9" s="8">
        <v>0.74935473777244754</v>
      </c>
      <c r="E9" s="8">
        <v>0.25064526222755251</v>
      </c>
      <c r="I9" s="16"/>
      <c r="J9" s="16"/>
      <c r="K9" s="16"/>
    </row>
    <row r="10" spans="1:20" x14ac:dyDescent="0.2">
      <c r="B10" s="56" t="s">
        <v>9</v>
      </c>
      <c r="C10" s="8">
        <f>C8/C9</f>
        <v>0.1</v>
      </c>
      <c r="D10" s="16">
        <f>D8/D9</f>
        <v>2.0017221809512289E-2</v>
      </c>
      <c r="E10" s="16">
        <f>E8/E9</f>
        <v>0.33912470255604243</v>
      </c>
      <c r="O10" s="18"/>
    </row>
    <row r="11" spans="1:20" x14ac:dyDescent="0.2">
      <c r="B11" s="56"/>
      <c r="C11" s="16"/>
      <c r="D11" s="16"/>
      <c r="E11" s="50"/>
      <c r="O11" s="18"/>
    </row>
    <row r="12" spans="1:20" ht="15.75" x14ac:dyDescent="0.25">
      <c r="C12" s="73" t="s">
        <v>45</v>
      </c>
      <c r="D12" s="73"/>
      <c r="E12" s="73" t="s">
        <v>46</v>
      </c>
      <c r="F12" s="73"/>
      <c r="G12" s="73" t="s">
        <v>47</v>
      </c>
      <c r="H12" s="73"/>
      <c r="I12" s="73"/>
      <c r="K12" s="73" t="s">
        <v>11</v>
      </c>
      <c r="L12" s="73"/>
      <c r="M12" s="73"/>
    </row>
    <row r="13" spans="1:20" s="19" customFormat="1" ht="31.5" x14ac:dyDescent="0.25">
      <c r="A13" s="19" t="s">
        <v>48</v>
      </c>
      <c r="C13" s="19" t="s">
        <v>4</v>
      </c>
      <c r="D13" s="19" t="s">
        <v>12</v>
      </c>
      <c r="E13" s="19" t="s">
        <v>4</v>
      </c>
      <c r="F13" s="19" t="s">
        <v>12</v>
      </c>
      <c r="G13" s="19" t="s">
        <v>4</v>
      </c>
      <c r="H13" s="19" t="s">
        <v>12</v>
      </c>
      <c r="I13" s="20" t="s">
        <v>13</v>
      </c>
      <c r="K13" s="19" t="s">
        <v>14</v>
      </c>
      <c r="L13" s="19" t="s">
        <v>15</v>
      </c>
      <c r="M13" s="19" t="s">
        <v>16</v>
      </c>
      <c r="N13" s="20" t="s">
        <v>17</v>
      </c>
      <c r="P13" s="19" t="s">
        <v>49</v>
      </c>
      <c r="Q13" s="19" t="s">
        <v>50</v>
      </c>
    </row>
    <row r="14" spans="1:20" s="21" customFormat="1" ht="30" x14ac:dyDescent="0.2">
      <c r="A14" s="21">
        <v>1</v>
      </c>
      <c r="B14" s="21" t="s">
        <v>18</v>
      </c>
      <c r="C14" s="21">
        <f>'[3]Bundled Cost Allocation Detail'!$E$85*(1-$D$10)</f>
        <v>1034727.1388083951</v>
      </c>
      <c r="D14" s="21">
        <f>SUM('[3]Bundled Cost Allocation Detail'!$G$85:$M$85)*(1-'Attachment 8 Calc.'!$E$10)</f>
        <v>153411.99935152158</v>
      </c>
      <c r="E14" s="21">
        <f>'[3]Bundled Cost Allocation Detail'!$E$85*($D$10)</f>
        <v>21135.435347235882</v>
      </c>
      <c r="F14" s="21">
        <f>SUM('[3]Bundled Cost Allocation Detail'!$G$85:$M$85)*('Attachment 8 Calc.'!$E$10)</f>
        <v>78722.565134195131</v>
      </c>
      <c r="G14" s="21">
        <f>'[3]Bundled Cost Allocation Detail'!E85</f>
        <v>1055862.574155631</v>
      </c>
      <c r="H14" s="21">
        <f>SUM('[3]Bundled Cost Allocation Detail'!G85:M85)</f>
        <v>232134.56448571672</v>
      </c>
      <c r="I14" s="21">
        <f>SUM(G14:H14)</f>
        <v>1287997.1386413476</v>
      </c>
      <c r="K14" s="21">
        <f>SUM('[3]Bundled Cost Allocation Detail'!S85:U85)</f>
        <v>78852.710194307438</v>
      </c>
      <c r="L14" s="21">
        <f>'[3]Bundled Cost Allocation Detail'!Q85</f>
        <v>74148.015090947083</v>
      </c>
      <c r="M14" s="21">
        <f>'[3]Bundled Cost Allocation Detail'!AI85+'[3]Bundled Cost Allocation Detail'!AO85</f>
        <v>33148.081651498833</v>
      </c>
      <c r="N14" s="21">
        <f>SUM(K14:M14)</f>
        <v>186148.80693675336</v>
      </c>
      <c r="P14" s="21">
        <v>22784.226592567808</v>
      </c>
      <c r="Q14" s="21">
        <f>SUM(N14:P14,I14)</f>
        <v>1496930.1721706688</v>
      </c>
      <c r="T14" s="57"/>
    </row>
    <row r="15" spans="1:20" s="22" customFormat="1" x14ac:dyDescent="0.2"/>
    <row r="16" spans="1:20" s="21" customFormat="1" ht="30" x14ac:dyDescent="0.2">
      <c r="A16" s="21">
        <v>2</v>
      </c>
      <c r="B16" s="21" t="s">
        <v>51</v>
      </c>
      <c r="C16" s="23">
        <f>'[3]Bundled Cost Allocation Detail'!E77*(1-D10)</f>
        <v>871759.14784615138</v>
      </c>
      <c r="D16" s="23">
        <f>SUM('[3]Bundled Cost Allocation Detail'!G77:M77)*(1-E10)</f>
        <v>119377.49611532415</v>
      </c>
      <c r="E16" s="23">
        <f>D10*'[3]Bundled Cost Allocation Detail'!E77</f>
        <v>17806.635601422666</v>
      </c>
      <c r="F16" s="23">
        <f>$E$10*SUM('[3]Bundled Cost Allocation Detail'!G77:M77)</f>
        <v>61257.937796392602</v>
      </c>
      <c r="G16" s="21">
        <f>'[3]Bundled Cost Allocation Detail'!E77</f>
        <v>889565.78344757401</v>
      </c>
      <c r="H16" s="21">
        <f>SUM('[3]Bundled Cost Allocation Detail'!G77:M77)</f>
        <v>180635.43391171674</v>
      </c>
      <c r="I16" s="21">
        <f>SUM(G16:H16)</f>
        <v>1070201.2173592907</v>
      </c>
      <c r="K16" s="21">
        <f>SUM('[3]Bundled Cost Allocation Detail'!S77:U77)</f>
        <v>26326.696511814687</v>
      </c>
      <c r="L16" s="21">
        <f>'[3]Bundled Cost Allocation Detail'!Q77</f>
        <v>50763.557227706988</v>
      </c>
      <c r="M16" s="21">
        <f>'[3]Bundled Cost Allocation Detail'!AI77+'[3]Bundled Cost Allocation Detail'!AO77</f>
        <v>6224.5598553005075</v>
      </c>
      <c r="N16" s="21">
        <f>SUM(K16:M16)</f>
        <v>83314.81359482219</v>
      </c>
      <c r="P16" s="21">
        <f>'[3]Bundled Cost Allocation Detail'!W190</f>
        <v>14642.569777937444</v>
      </c>
      <c r="Q16" s="21">
        <f>SUM(N16:P16,I16)</f>
        <v>1168158.6007320504</v>
      </c>
      <c r="T16" s="57"/>
    </row>
    <row r="17" spans="1:25" s="22" customFormat="1" x14ac:dyDescent="0.2">
      <c r="A17" s="22">
        <v>3</v>
      </c>
      <c r="B17" s="22" t="s">
        <v>20</v>
      </c>
      <c r="C17" s="22">
        <f t="shared" ref="C17:I17" si="0">$Q17*C38/$Q$38</f>
        <v>17769.287829855111</v>
      </c>
      <c r="D17" s="22">
        <f t="shared" si="0"/>
        <v>3740.7215143362168</v>
      </c>
      <c r="E17" s="22">
        <f t="shared" si="0"/>
        <v>362.95717006787868</v>
      </c>
      <c r="F17" s="22">
        <f t="shared" si="0"/>
        <v>1919.5316813938462</v>
      </c>
      <c r="G17" s="22">
        <f t="shared" si="0"/>
        <v>18132.24499992299</v>
      </c>
      <c r="H17" s="22">
        <f t="shared" si="0"/>
        <v>5660.2531957300635</v>
      </c>
      <c r="I17" s="22">
        <f t="shared" si="0"/>
        <v>23792.498195653054</v>
      </c>
      <c r="J17" s="21"/>
      <c r="K17" s="22">
        <f>$Q17*K38/$Q$38</f>
        <v>18482.239736575004</v>
      </c>
      <c r="L17" s="22">
        <f>$Q17*L38/$Q$38</f>
        <v>9220.8587309982504</v>
      </c>
      <c r="M17" s="22">
        <f>$Q17*M38/$Q$38</f>
        <v>11028.02931263448</v>
      </c>
      <c r="N17" s="22">
        <f>SUM(K17:M17)</f>
        <v>38731.127780207738</v>
      </c>
      <c r="O17" s="21"/>
      <c r="P17" s="22">
        <f>$Q17*P38/$Q$38</f>
        <v>3030.1406529842275</v>
      </c>
      <c r="Q17" s="21">
        <f>'[3]Unbundled Transmission'!B5/1000</f>
        <v>65553.766628845013</v>
      </c>
      <c r="T17" s="57"/>
    </row>
    <row r="18" spans="1:25" s="22" customFormat="1" x14ac:dyDescent="0.2">
      <c r="A18" s="22">
        <v>4</v>
      </c>
      <c r="C18" s="24"/>
      <c r="D18" s="24"/>
      <c r="E18" s="24"/>
      <c r="F18" s="24"/>
      <c r="G18" s="24"/>
      <c r="H18" s="24"/>
      <c r="I18" s="24"/>
      <c r="J18" s="21"/>
      <c r="K18" s="24"/>
      <c r="L18" s="24"/>
      <c r="M18" s="24"/>
    </row>
    <row r="19" spans="1:25" s="22" customFormat="1" x14ac:dyDescent="0.2">
      <c r="A19" s="22">
        <v>5</v>
      </c>
      <c r="B19" s="22" t="s">
        <v>52</v>
      </c>
      <c r="C19" s="24">
        <f>('[3]Unbundled Transmission'!$B$42+'[3]Unbundled Transmission'!$B$68)*C38/SUM($C$38:$D$38)</f>
        <v>22299.313931372686</v>
      </c>
      <c r="D19" s="24">
        <f>('[3]Unbundled Transmission'!$B$42+'[3]Unbundled Transmission'!$B$68)*D38/SUM($C$38:$D$38)</f>
        <v>4694.3650289615052</v>
      </c>
      <c r="E19" s="24">
        <f>'[3]Unbundled Transmission'!$B$52*'Attachment 8 Calc.'!E37/SUM('Attachment 8 Calc.'!$E$37:$F$37)</f>
        <v>373.98942634117208</v>
      </c>
      <c r="F19" s="24">
        <f>'[3]Unbundled Transmission'!$B$52*'Attachment 8 Calc.'!F37/SUM('Attachment 8 Calc.'!$E$37:$F$37)</f>
        <v>2119.273415933309</v>
      </c>
      <c r="G19" s="21">
        <f>SUM(C19,E19)</f>
        <v>22673.303357713859</v>
      </c>
      <c r="H19" s="21">
        <f>SUM(D19,F19)</f>
        <v>6813.6384448948138</v>
      </c>
      <c r="I19" s="21">
        <f>SUM(G19:H19)</f>
        <v>29486.941802608671</v>
      </c>
      <c r="J19" s="21"/>
      <c r="K19" s="22">
        <f>('[3]Unbundled Transmission'!$B$58-'Attachment 8 Calc.'!$P$19)*'Attachment 8 Calc.'!K37/'Attachment 8 Calc.'!$N$37</f>
        <v>20350.292614584549</v>
      </c>
      <c r="L19" s="22">
        <f>('[3]Unbundled Transmission'!$B$58-'Attachment 8 Calc.'!$P$19)*'Attachment 8 Calc.'!L37/'Attachment 8 Calc.'!$N$37</f>
        <v>10068.901457819453</v>
      </c>
      <c r="M19" s="22">
        <f>('[3]Unbundled Transmission'!$B$58-'Attachment 8 Calc.'!$P$19)*'Attachment 8 Calc.'!M37/'Attachment 8 Calc.'!$N$37</f>
        <v>11772.36664087226</v>
      </c>
      <c r="N19" s="22">
        <f>SUM(K19:M19)</f>
        <v>42191.560713276267</v>
      </c>
      <c r="O19" s="21"/>
      <c r="P19" s="22">
        <f>'[3]Unbundled Transmission'!B27*'Attachment 8 Calc.'!P37</f>
        <v>3541.0796522887986</v>
      </c>
      <c r="Q19" s="21">
        <f>SUM(N19:P19,I19)</f>
        <v>75219.582168173743</v>
      </c>
      <c r="S19" s="24"/>
      <c r="T19" s="57"/>
    </row>
    <row r="20" spans="1:25" s="22" customFormat="1" x14ac:dyDescent="0.2">
      <c r="A20" s="22">
        <v>6</v>
      </c>
      <c r="B20" s="22" t="s">
        <v>22</v>
      </c>
      <c r="C20" s="22">
        <f t="shared" ref="C20:H20" si="1">$Q$20*C37/$Q$37</f>
        <v>2650.9855922846255</v>
      </c>
      <c r="D20" s="22">
        <f t="shared" si="1"/>
        <v>597.9714993430332</v>
      </c>
      <c r="E20" s="22">
        <f t="shared" si="1"/>
        <v>54.149284860460966</v>
      </c>
      <c r="F20" s="22">
        <f t="shared" si="1"/>
        <v>306.84594754261224</v>
      </c>
      <c r="G20" s="58">
        <f t="shared" si="1"/>
        <v>2705.1348771450866</v>
      </c>
      <c r="H20" s="58">
        <f t="shared" si="1"/>
        <v>904.81744688564538</v>
      </c>
      <c r="I20" s="21">
        <f>SUM(G20:H20)</f>
        <v>3609.9523240307321</v>
      </c>
      <c r="J20" s="21"/>
      <c r="K20" s="58">
        <f>$Q$20*K37/$Q$37</f>
        <v>3127.2378123241301</v>
      </c>
      <c r="L20" s="58">
        <f>$Q$20*L37/$Q$37</f>
        <v>1547.2922165695047</v>
      </c>
      <c r="M20" s="58">
        <f>$Q$20*M37/$Q$37</f>
        <v>1809.064409889347</v>
      </c>
      <c r="N20" s="22">
        <f>SUM(K20:M20)</f>
        <v>6483.5944387829823</v>
      </c>
      <c r="O20" s="21"/>
      <c r="P20" s="22">
        <f>$Q$20*P37/$Q$37</f>
        <v>512.70682350908749</v>
      </c>
      <c r="Q20" s="21">
        <v>10606.2535863228</v>
      </c>
      <c r="S20" s="58"/>
      <c r="T20" s="57"/>
    </row>
    <row r="21" spans="1:25" s="22" customFormat="1" x14ac:dyDescent="0.2">
      <c r="A21" s="22">
        <v>7</v>
      </c>
      <c r="B21" s="22" t="s">
        <v>23</v>
      </c>
      <c r="C21" s="24">
        <f>'[3]Unbundled Storage'!H59</f>
        <v>26702.23712539906</v>
      </c>
      <c r="D21" s="24">
        <f>'[3]Unbundled Storage'!$I$59</f>
        <v>5065.9210026718283</v>
      </c>
      <c r="E21" s="24">
        <f>'[3]Unbundled Storage'!J59</f>
        <v>545.42244541914852</v>
      </c>
      <c r="F21" s="24">
        <f>'[3]Unbundled Storage'!K59</f>
        <v>2599.5508681411675</v>
      </c>
      <c r="G21" s="21">
        <f>SUM(C21,E21)</f>
        <v>27247.65957081821</v>
      </c>
      <c r="H21" s="21">
        <f>SUM(D21,F21)</f>
        <v>7665.4718708129958</v>
      </c>
      <c r="I21" s="21">
        <f>SUM(G21:H21)</f>
        <v>34913.131441631209</v>
      </c>
      <c r="J21" s="21"/>
      <c r="K21" s="24"/>
      <c r="L21" s="24"/>
      <c r="M21" s="24"/>
      <c r="Q21" s="21">
        <f>SUM(N21:P21,I21)</f>
        <v>34913.131441631209</v>
      </c>
      <c r="S21" s="59"/>
    </row>
    <row r="22" spans="1:25" s="22" customFormat="1" x14ac:dyDescent="0.2">
      <c r="A22" s="22">
        <v>8</v>
      </c>
      <c r="B22" s="22" t="s">
        <v>24</v>
      </c>
      <c r="J22" s="21"/>
      <c r="K22" s="22">
        <f>'[3]Unbundled Storage'!$D$70/1000*'Attachment 8 Calc.'!K37/SUM('Attachment 8 Calc.'!$N$37:$P$37)</f>
        <v>5676.1409520055786</v>
      </c>
      <c r="L22" s="22">
        <f>'[3]Unbundled Storage'!$D$70/1000*'Attachment 8 Calc.'!L37/SUM('Attachment 8 Calc.'!$N$37:$P$37)</f>
        <v>2808.4364676642481</v>
      </c>
      <c r="M22" s="22">
        <f>'[3]Unbundled Storage'!$D$70/1000*'Attachment 8 Calc.'!M37/SUM('Attachment 8 Calc.'!$N$37:$P$37)</f>
        <v>3283.5701018072828</v>
      </c>
      <c r="N22" s="22">
        <f>SUM(K22:M22)</f>
        <v>11768.147521477109</v>
      </c>
      <c r="P22" s="22">
        <f>'[3]Unbundled Storage'!$D$70/1000*'Attachment 8 Calc.'!P37/SUM('Attachment 8 Calc.'!$N$37:$P$37)</f>
        <v>930.5963831160642</v>
      </c>
      <c r="Q22" s="21">
        <f>SUM(N22:P22,I22)</f>
        <v>12698.743904593173</v>
      </c>
    </row>
    <row r="23" spans="1:25" s="22" customFormat="1" x14ac:dyDescent="0.2">
      <c r="A23" s="22">
        <v>9</v>
      </c>
      <c r="B23" s="22" t="s">
        <v>25</v>
      </c>
      <c r="C23" s="22">
        <f>$I$23*'[3]Unbundled Storage'!$E$53</f>
        <v>1950.7184806901701</v>
      </c>
      <c r="D23" s="22">
        <f>$I$23*'[3]Unbundled Storage'!$E$54</f>
        <v>370.08830665459556</v>
      </c>
      <c r="E23" s="22">
        <f>$I$23*'[3]Unbundled Storage'!$D$53</f>
        <v>39.845561967926606</v>
      </c>
      <c r="F23" s="22">
        <f>$I$23*'[3]Unbundled Storage'!$D$54</f>
        <v>189.90887902623123</v>
      </c>
      <c r="G23" s="21">
        <f>SUM(C23,E23)</f>
        <v>1990.5640426580967</v>
      </c>
      <c r="H23" s="21">
        <f>SUM(D23,F23)</f>
        <v>559.99718568082676</v>
      </c>
      <c r="I23" s="22">
        <f>'[3]Co. Use Fuel Storage Calc.'!D7*FR_AND_U</f>
        <v>2550.5612283389237</v>
      </c>
      <c r="J23" s="21"/>
      <c r="K23" s="22">
        <f>'[3]Co. Use Fuel Storage Calc.'!$D$6*'Attachment 8 Calc.'!K37/('Attachment 8 Calc.'!$N$37+'Attachment 8 Calc.'!$P$37)*FR_AND_U</f>
        <v>871.6064114469209</v>
      </c>
      <c r="L23" s="22">
        <f>'[3]Co. Use Fuel Storage Calc.'!$D$6*'Attachment 8 Calc.'!L37/('Attachment 8 Calc.'!$N$37+'Attachment 8 Calc.'!$P$37)*FR_AND_U</f>
        <v>431.25272118068006</v>
      </c>
      <c r="M23" s="22">
        <f>'[3]Co. Use Fuel Storage Calc.'!$D$6*'Attachment 8 Calc.'!M37/('Attachment 8 Calc.'!$N$37+'Attachment 8 Calc.'!$P$37)*FR_ONLY</f>
        <v>501.76015862508342</v>
      </c>
      <c r="N23" s="22">
        <f>SUM(K23:M23)</f>
        <v>1804.6192912526844</v>
      </c>
      <c r="P23" s="22">
        <f>'[3]Co. Use Fuel Storage Calc.'!$D$6*'Attachment 8 Calc.'!P37/('Attachment 8 Calc.'!$N$37+'Attachment 8 Calc.'!$P$37)*FR_AND_U</f>
        <v>142.89880763209058</v>
      </c>
      <c r="Q23" s="21">
        <f>SUM(N23:P23,I23)</f>
        <v>4498.0793272236988</v>
      </c>
      <c r="S23" s="24"/>
      <c r="T23" s="57"/>
    </row>
    <row r="24" spans="1:25" s="22" customFormat="1" x14ac:dyDescent="0.2">
      <c r="A24" s="22">
        <v>10</v>
      </c>
      <c r="B24" s="22" t="s">
        <v>26</v>
      </c>
      <c r="C24" s="24">
        <f>'[3]Unbundled Storage'!H62</f>
        <v>1191.0160543858794</v>
      </c>
      <c r="D24" s="24">
        <f>'[3]Unbundled Storage'!$I$62</f>
        <v>225.95834259495913</v>
      </c>
      <c r="E24" s="24">
        <f>'[3]Unbundled Storage'!J62</f>
        <v>24.327807661430299</v>
      </c>
      <c r="F24" s="24">
        <f>'[3]Unbundled Storage'!K62*1</f>
        <v>115.94934175773145</v>
      </c>
      <c r="G24" s="21">
        <f>SUM(C24,E24)</f>
        <v>1215.3438620473098</v>
      </c>
      <c r="H24" s="21">
        <f>SUM(D24,F24)</f>
        <v>341.90768435269058</v>
      </c>
      <c r="I24" s="24">
        <f>SUM(C24:F24)</f>
        <v>1557.2515464000003</v>
      </c>
      <c r="J24" s="21"/>
      <c r="K24" s="22">
        <f>'[3]Unbundled Storage'!$E$74/1000*'Attachment 8 Calc.'!K37/SUM('Attachment 8 Calc.'!$N$37:$P$37)</f>
        <v>202.36572239765516</v>
      </c>
      <c r="L24" s="22">
        <f>'[3]Unbundled Storage'!$E$74/1000*'Attachment 8 Calc.'!L37/SUM('Attachment 8 Calc.'!$N$37:$P$37)</f>
        <v>100.12634981976323</v>
      </c>
      <c r="M24" s="22">
        <f>'[3]Unbundled Storage'!$E$74/1000*'Attachment 8 Calc.'!M37/SUM('Attachment 8 Calc.'!$N$37:$P$37)</f>
        <v>117.06580955513238</v>
      </c>
      <c r="N24" s="22">
        <f>SUM(K24:M24)</f>
        <v>419.55788177255079</v>
      </c>
      <c r="O24" s="21"/>
      <c r="P24" s="22">
        <f>'[3]Unbundled Storage'!$E$74/1000*'Attachment 8 Calc.'!P37/SUM('Attachment 8 Calc.'!$N$37:$P$37)</f>
        <v>33.177613262649345</v>
      </c>
      <c r="Q24" s="21">
        <f>SUM(N24:P24,I24)</f>
        <v>2009.9870414352004</v>
      </c>
      <c r="S24" s="24"/>
      <c r="T24" s="57"/>
    </row>
    <row r="25" spans="1:25" s="22" customFormat="1" x14ac:dyDescent="0.2">
      <c r="C25" s="24"/>
      <c r="D25" s="24"/>
      <c r="E25" s="24"/>
      <c r="F25" s="24"/>
      <c r="G25" s="24"/>
      <c r="H25" s="24"/>
      <c r="I25" s="24"/>
      <c r="J25" s="21"/>
    </row>
    <row r="26" spans="1:25" s="22" customFormat="1" x14ac:dyDescent="0.2">
      <c r="A26" s="22">
        <v>11</v>
      </c>
      <c r="B26" s="22" t="s">
        <v>27</v>
      </c>
      <c r="C26" s="24">
        <f>('[3]Interstate Capacity'!$B$52)*'Attachment 8 Calc.'!C37/SUM('Attachment 8 Calc.'!$C$37:$D$37)*1000*FR_AND_U</f>
        <v>89326.662446146875</v>
      </c>
      <c r="D26" s="24">
        <f>('[3]Interstate Capacity'!$B$52)*'Attachment 8 Calc.'!D37/SUM('Attachment 8 Calc.'!$C$37:$D$37)*1000*FR_AND_U</f>
        <v>20149.033789428657</v>
      </c>
      <c r="E26" s="24">
        <f>-'[3]Interstate Capacity'!$B$49*'Attachment 8 Calc.'!E37/SUM('Attachment 8 Calc.'!$E$37:$F$37)*1000</f>
        <v>894.39871489494374</v>
      </c>
      <c r="F26" s="24">
        <f>(-'[3]Interstate Capacity'!$B$49)*'Attachment 8 Calc.'!F37/SUM('Attachment 8 Calc.'!$E$37:$F$37)*1000</f>
        <v>5068.2593844046824</v>
      </c>
      <c r="G26" s="21">
        <f t="shared" ref="G26:H28" si="2">SUM(C26,E26)</f>
        <v>90221.061161041813</v>
      </c>
      <c r="H26" s="21">
        <f t="shared" si="2"/>
        <v>25217.293173833339</v>
      </c>
      <c r="I26" s="24">
        <f>SUM(C26:F26)</f>
        <v>115438.35433487516</v>
      </c>
      <c r="J26" s="21"/>
      <c r="K26" s="22">
        <v>0</v>
      </c>
      <c r="L26" s="22">
        <v>0</v>
      </c>
      <c r="M26" s="22">
        <v>0</v>
      </c>
      <c r="N26" s="22">
        <f>SUM(K26:M26)</f>
        <v>0</v>
      </c>
      <c r="O26" s="21"/>
      <c r="Q26" s="21">
        <f>SUM(N26:P26,I26)</f>
        <v>115438.35433487516</v>
      </c>
      <c r="T26" s="57"/>
      <c r="U26" s="60"/>
      <c r="V26" s="61"/>
      <c r="W26" s="61"/>
      <c r="X26" s="61"/>
      <c r="Y26" s="61"/>
    </row>
    <row r="27" spans="1:25" s="22" customFormat="1" x14ac:dyDescent="0.2">
      <c r="A27" s="22">
        <v>12</v>
      </c>
      <c r="B27" s="22" t="s">
        <v>28</v>
      </c>
      <c r="C27" s="24">
        <f>('[3]Interstate Capacity'!$B38-'[3]Interstate Capacity'!$B29)*1000*FR_AND_U</f>
        <v>-5550.942606806344</v>
      </c>
      <c r="D27" s="24">
        <f>('[3]Interstate Capacity'!$B39-'[3]Interstate Capacity'!$B30)*1000*FR_AND_U</f>
        <v>-1252.1024191981855</v>
      </c>
      <c r="E27" s="24">
        <f>('[3]Interstate Capacity'!$B41-'[3]Interstate Capacity'!$B32)*1000*FR_AND_U</f>
        <v>-113.38408376674215</v>
      </c>
      <c r="F27" s="24">
        <f>('[3]Interstate Capacity'!$B42-'[3]Interstate Capacity'!$B33)*1000*FR_AND_U</f>
        <v>-642.50980801153889</v>
      </c>
      <c r="G27" s="21">
        <f t="shared" si="2"/>
        <v>-5664.3266905730861</v>
      </c>
      <c r="H27" s="21">
        <f t="shared" si="2"/>
        <v>-1894.6122272097246</v>
      </c>
      <c r="I27" s="24">
        <f>SUM(C27:F27)</f>
        <v>-7558.9389177828098</v>
      </c>
      <c r="J27" s="21"/>
      <c r="K27" s="22">
        <f>('[3]Interstate Capacity'!$B$45)*'Attachment 8 Calc.'!K37/'Attachment 8 Calc.'!$N$37*1000*FR_AND_U</f>
        <v>3645.9096613661709</v>
      </c>
      <c r="L27" s="22">
        <f>('[3]Interstate Capacity'!$B$45)*'Attachment 8 Calc.'!L37/'Attachment 8 Calc.'!$N$37*1000*FR_AND_U</f>
        <v>1803.9202580359213</v>
      </c>
      <c r="M27" s="22">
        <f>('[3]Interstate Capacity'!$B$45)*'Attachment 8 Calc.'!M37/'Attachment 8 Calc.'!$N$37*1000*FR_ONLY</f>
        <v>2098.8512544130353</v>
      </c>
      <c r="N27" s="22">
        <f>SUM(K27:M27)</f>
        <v>7548.6811738151273</v>
      </c>
      <c r="O27" s="21"/>
      <c r="Q27" s="21">
        <f>SUM(N27:P27,I27)</f>
        <v>-10.257743967682472</v>
      </c>
      <c r="T27" s="57"/>
    </row>
    <row r="28" spans="1:25" s="22" customFormat="1" x14ac:dyDescent="0.2">
      <c r="A28" s="22">
        <v>13</v>
      </c>
      <c r="B28" s="22" t="s">
        <v>29</v>
      </c>
      <c r="C28" s="24">
        <f>('[3]Interstate Capacity'!$B$55)*1000*FR_AND_U</f>
        <v>3394.6439279683345</v>
      </c>
      <c r="D28" s="24">
        <f>('[3]Interstate Capacity'!$B$56)*1000*FR_AND_U</f>
        <v>1730.1714462247492</v>
      </c>
      <c r="E28" s="24">
        <f>('[3]Interstate Capacity'!$B$58)*1000*FR_AND_U</f>
        <v>69.339321039831503</v>
      </c>
      <c r="F28" s="24">
        <f>('[3]Interstate Capacity'!$B$59)*1000*FR_AND_U</f>
        <v>887.82842896572606</v>
      </c>
      <c r="G28" s="21">
        <f t="shared" si="2"/>
        <v>3463.9832490081662</v>
      </c>
      <c r="H28" s="21">
        <f t="shared" si="2"/>
        <v>2617.999875190475</v>
      </c>
      <c r="I28" s="24">
        <f>SUM(C28:F28)</f>
        <v>6081.9831241986412</v>
      </c>
      <c r="J28" s="21"/>
      <c r="K28" s="22">
        <v>0</v>
      </c>
      <c r="L28" s="22">
        <v>0</v>
      </c>
      <c r="M28" s="22">
        <v>0</v>
      </c>
      <c r="N28" s="22">
        <f>SUM(K28:M28)</f>
        <v>0</v>
      </c>
      <c r="O28" s="21"/>
      <c r="Q28" s="21">
        <f>SUM(N28:P28,I28)</f>
        <v>6081.9831241986412</v>
      </c>
      <c r="T28" s="57"/>
    </row>
    <row r="29" spans="1:25" s="22" customFormat="1" x14ac:dyDescent="0.2">
      <c r="C29" s="24"/>
      <c r="D29" s="24"/>
      <c r="E29" s="24"/>
      <c r="F29" s="24"/>
      <c r="G29" s="21"/>
      <c r="H29" s="21"/>
      <c r="I29" s="24"/>
      <c r="J29" s="21"/>
      <c r="O29" s="21"/>
      <c r="Q29" s="21"/>
    </row>
    <row r="30" spans="1:25" s="22" customFormat="1" x14ac:dyDescent="0.2">
      <c r="A30" s="22">
        <v>14</v>
      </c>
      <c r="B30" s="22" t="s">
        <v>30</v>
      </c>
      <c r="C30" s="24">
        <f t="shared" ref="C30:I30" si="3">$Q$30*C37/($N$37+$I$37)</f>
        <v>525.28326357020353</v>
      </c>
      <c r="D30" s="24">
        <f t="shared" si="3"/>
        <v>118.48590260582309</v>
      </c>
      <c r="E30" s="24">
        <f t="shared" si="3"/>
        <v>10.729486102933777</v>
      </c>
      <c r="F30" s="24">
        <f t="shared" si="3"/>
        <v>60.80042124995807</v>
      </c>
      <c r="G30" s="24">
        <f t="shared" si="3"/>
        <v>536.01274967313736</v>
      </c>
      <c r="H30" s="24">
        <f t="shared" si="3"/>
        <v>179.28632385578115</v>
      </c>
      <c r="I30" s="24">
        <f t="shared" si="3"/>
        <v>715.29907352891848</v>
      </c>
      <c r="J30" s="21"/>
      <c r="K30" s="24">
        <f>$Q$30*K37/($N$37+$I$37)</f>
        <v>619.65092862013364</v>
      </c>
      <c r="L30" s="24">
        <f>$Q$30*L37/($N$37+$I$37)</f>
        <v>306.5903894694348</v>
      </c>
      <c r="M30" s="24">
        <f>$Q$30*M37/($N$37+$I$37)</f>
        <v>358.45960838151319</v>
      </c>
      <c r="N30" s="24">
        <f>$Q$30*N37/($N$37+$I$37)</f>
        <v>1284.7009264710816</v>
      </c>
      <c r="Q30" s="22">
        <v>2000</v>
      </c>
      <c r="T30" s="57"/>
    </row>
    <row r="31" spans="1:25" s="22" customFormat="1" x14ac:dyDescent="0.2">
      <c r="C31" s="24"/>
      <c r="D31" s="24"/>
      <c r="E31" s="24"/>
      <c r="F31" s="24"/>
      <c r="G31" s="24"/>
      <c r="H31" s="24"/>
      <c r="I31" s="24"/>
      <c r="J31" s="21"/>
      <c r="K31" s="24"/>
      <c r="L31" s="24"/>
      <c r="M31" s="24"/>
      <c r="N31" s="24"/>
    </row>
    <row r="32" spans="1:25" s="22" customFormat="1" x14ac:dyDescent="0.2">
      <c r="A32" s="22">
        <v>15</v>
      </c>
      <c r="B32" s="22" t="s">
        <v>6</v>
      </c>
      <c r="C32" s="24">
        <f t="shared" ref="C32:I32" si="4">SUM(C16:C30)</f>
        <v>1032018.353891018</v>
      </c>
      <c r="D32" s="24">
        <f t="shared" si="4"/>
        <v>154818.11052894732</v>
      </c>
      <c r="E32" s="24">
        <f t="shared" si="4"/>
        <v>20068.410736011654</v>
      </c>
      <c r="F32" s="24">
        <f t="shared" si="4"/>
        <v>73883.376356796332</v>
      </c>
      <c r="G32" s="24">
        <f t="shared" si="4"/>
        <v>1052086.7646270294</v>
      </c>
      <c r="H32" s="24">
        <f t="shared" si="4"/>
        <v>228701.48688574365</v>
      </c>
      <c r="I32" s="24">
        <f t="shared" si="4"/>
        <v>1280788.2515127731</v>
      </c>
      <c r="J32" s="21"/>
      <c r="K32" s="24">
        <f>SUM(K16:K30)</f>
        <v>79302.140351134818</v>
      </c>
      <c r="L32" s="24">
        <f>SUM(L16:L30)</f>
        <v>77050.935819264239</v>
      </c>
      <c r="M32" s="24">
        <f>SUM(M16:M30)</f>
        <v>37193.727151478641</v>
      </c>
      <c r="N32" s="24">
        <f>SUM(N16:N30)</f>
        <v>193546.80332187773</v>
      </c>
      <c r="O32" s="24"/>
      <c r="P32" s="24">
        <f>SUM(P16:P30)</f>
        <v>22833.169710730359</v>
      </c>
      <c r="Q32" s="24">
        <f>SUM(Q16:Q30)</f>
        <v>1497168.2245453813</v>
      </c>
      <c r="T32" s="57"/>
    </row>
    <row r="33" spans="1:20" s="22" customFormat="1" x14ac:dyDescent="0.2">
      <c r="C33" s="24"/>
      <c r="D33" s="24"/>
      <c r="E33" s="24"/>
      <c r="F33" s="24"/>
      <c r="G33" s="24"/>
      <c r="H33" s="24"/>
      <c r="I33" s="24"/>
      <c r="J33" s="21"/>
      <c r="K33" s="24"/>
      <c r="L33" s="24"/>
      <c r="M33" s="24"/>
      <c r="S33" s="35"/>
    </row>
    <row r="34" spans="1:20" s="25" customFormat="1" ht="15.75" x14ac:dyDescent="0.25">
      <c r="A34" s="25">
        <v>16</v>
      </c>
      <c r="B34" s="25" t="s">
        <v>31</v>
      </c>
      <c r="C34" s="25">
        <f t="shared" ref="C34:I34" si="5">C32-C14</f>
        <v>-2708.7849173771683</v>
      </c>
      <c r="D34" s="25">
        <f t="shared" si="5"/>
        <v>1406.1111774257442</v>
      </c>
      <c r="E34" s="25">
        <f t="shared" si="5"/>
        <v>-1067.0246112242276</v>
      </c>
      <c r="F34" s="25">
        <f t="shared" si="5"/>
        <v>-4839.1887773987983</v>
      </c>
      <c r="G34" s="25">
        <f t="shared" si="5"/>
        <v>-3775.8095286015887</v>
      </c>
      <c r="H34" s="25">
        <f t="shared" si="5"/>
        <v>-3433.0775999730686</v>
      </c>
      <c r="I34" s="25">
        <f t="shared" si="5"/>
        <v>-7208.8871285745408</v>
      </c>
      <c r="J34" s="40"/>
      <c r="K34" s="25">
        <f>K32-K14</f>
        <v>449.43015682738042</v>
      </c>
      <c r="L34" s="25">
        <f>L32-L14</f>
        <v>2902.9207283171563</v>
      </c>
      <c r="M34" s="25">
        <f>M32-M14</f>
        <v>4045.6454999798079</v>
      </c>
      <c r="N34" s="25">
        <f>N32-N14</f>
        <v>7397.9963851243665</v>
      </c>
      <c r="P34" s="25">
        <f>P32-P14</f>
        <v>48.9431181625514</v>
      </c>
      <c r="Q34" s="62">
        <f>SUM(N34:P34,I34)</f>
        <v>238.05237471237706</v>
      </c>
      <c r="T34" s="57"/>
    </row>
    <row r="35" spans="1:20" s="22" customFormat="1" x14ac:dyDescent="0.2">
      <c r="C35" s="63"/>
    </row>
    <row r="36" spans="1:20" s="22" customFormat="1" x14ac:dyDescent="0.2"/>
    <row r="37" spans="1:20" s="22" customFormat="1" ht="15.75" x14ac:dyDescent="0.25">
      <c r="A37" s="22">
        <v>17</v>
      </c>
      <c r="B37" s="22" t="s">
        <v>53</v>
      </c>
      <c r="C37" s="22">
        <f>'[3]Bundled Cost Allocation Detail'!$E$70*(1-'Attachment 8 Calc.'!$D$10)</f>
        <v>249587.10986000003</v>
      </c>
      <c r="D37" s="22">
        <f>SUM('[3]Bundled Cost Allocation Detail'!$G$70:$M$70)*(1-$E$10)</f>
        <v>56298.298539999996</v>
      </c>
      <c r="E37" s="22">
        <f>'[3]Bundled Cost Allocation Detail'!$E$70*('Attachment 8 Calc.'!$D$10)</f>
        <v>5098.0901399999993</v>
      </c>
      <c r="F37" s="22">
        <f>SUM('[3]Bundled Cost Allocation Detail'!$G$70:$M$70)*($E$10)</f>
        <v>28889.177460000003</v>
      </c>
      <c r="G37" s="21">
        <f>SUM(C37,E37)</f>
        <v>254685.2</v>
      </c>
      <c r="H37" s="21">
        <f>SUM(D37,F37)</f>
        <v>85187.475999999995</v>
      </c>
      <c r="I37" s="22">
        <f>SUM(C37:F37)</f>
        <v>339872.67599999998</v>
      </c>
      <c r="K37" s="22">
        <f>SUM('[3]Bundled Cost Allocation Detail'!S70:U70)</f>
        <v>294425.68443015806</v>
      </c>
      <c r="L37" s="22">
        <f>'[3]Bundled Cost Allocation Detail'!Q70</f>
        <v>145675.70399718449</v>
      </c>
      <c r="M37" s="22">
        <f>SUM('[3]Bundled Cost Allocation Detail'!AI70,'[3]Bundled Cost Allocation Detail'!AO70)</f>
        <v>170321.24162762737</v>
      </c>
      <c r="N37" s="22">
        <f>SUM(K37:M37)</f>
        <v>610422.63005496992</v>
      </c>
      <c r="O37" s="21"/>
      <c r="P37" s="22">
        <v>48270.7317073171</v>
      </c>
      <c r="Q37" s="22">
        <f>SUM(P37,N37,I37)</f>
        <v>998566.03776228696</v>
      </c>
      <c r="S37" s="64"/>
    </row>
    <row r="38" spans="1:20" s="22" customFormat="1" ht="15.75" x14ac:dyDescent="0.25">
      <c r="A38" s="22">
        <v>18</v>
      </c>
      <c r="B38" s="22" t="s">
        <v>54</v>
      </c>
      <c r="C38" s="22">
        <v>283068.22147687804</v>
      </c>
      <c r="D38" s="22">
        <v>59590.423445354289</v>
      </c>
      <c r="E38" s="22">
        <v>5781.9785231219867</v>
      </c>
      <c r="F38" s="22">
        <v>30578.514137620776</v>
      </c>
      <c r="G38" s="21">
        <v>288850.2</v>
      </c>
      <c r="H38" s="21">
        <v>90168.937582975064</v>
      </c>
      <c r="I38" s="22">
        <v>379019.13758297509</v>
      </c>
      <c r="K38" s="22">
        <v>294425.68443015806</v>
      </c>
      <c r="L38" s="22">
        <v>146890.07834561594</v>
      </c>
      <c r="M38" s="22">
        <v>175678.65824523446</v>
      </c>
      <c r="N38" s="22">
        <v>616994.4210210084</v>
      </c>
      <c r="O38" s="21"/>
      <c r="P38" s="22">
        <v>48270.7317073171</v>
      </c>
      <c r="Q38" s="22">
        <v>1044284.2903113005</v>
      </c>
      <c r="S38" s="64"/>
    </row>
    <row r="39" spans="1:20" x14ac:dyDescent="0.2">
      <c r="E39" s="65"/>
      <c r="F39" s="65"/>
      <c r="G39" s="65"/>
      <c r="H39" s="65"/>
      <c r="I39" s="65"/>
      <c r="J39" s="65"/>
      <c r="K39" s="65"/>
      <c r="L39" s="61"/>
    </row>
    <row r="40" spans="1:20" x14ac:dyDescent="0.2">
      <c r="B40" s="44" t="s">
        <v>55</v>
      </c>
      <c r="I40" s="65"/>
      <c r="K40" s="66"/>
      <c r="L40" s="26"/>
    </row>
    <row r="41" spans="1:20" x14ac:dyDescent="0.2">
      <c r="B41" s="2" t="s">
        <v>34</v>
      </c>
      <c r="E41" s="65"/>
      <c r="F41" s="65"/>
      <c r="G41" s="65"/>
      <c r="H41" s="65"/>
      <c r="I41" s="65"/>
      <c r="J41" s="65"/>
      <c r="K41" s="65"/>
      <c r="L41" s="26"/>
      <c r="M41" s="28"/>
    </row>
    <row r="42" spans="1:20" x14ac:dyDescent="0.2">
      <c r="B42" s="2" t="s">
        <v>35</v>
      </c>
      <c r="E42" s="65"/>
      <c r="F42" s="65"/>
      <c r="G42" s="65"/>
      <c r="H42" s="65"/>
      <c r="I42" s="65"/>
      <c r="J42" s="65"/>
      <c r="K42" s="65"/>
      <c r="L42" s="26"/>
      <c r="M42" s="28"/>
    </row>
    <row r="43" spans="1:20" x14ac:dyDescent="0.2">
      <c r="B43" s="30"/>
      <c r="C43" s="67"/>
      <c r="D43" s="67"/>
      <c r="E43" s="67"/>
      <c r="F43" s="67"/>
      <c r="G43" s="67"/>
      <c r="H43" s="67"/>
      <c r="I43" s="67"/>
      <c r="J43" s="67"/>
      <c r="K43" s="67"/>
      <c r="M43" s="26"/>
    </row>
    <row r="44" spans="1:20" x14ac:dyDescent="0.2">
      <c r="B44" s="30"/>
      <c r="C44" s="65"/>
      <c r="E44" s="67"/>
      <c r="F44" s="67"/>
      <c r="G44" s="65"/>
      <c r="H44" s="65"/>
      <c r="I44" s="67"/>
      <c r="J44" s="67"/>
      <c r="K44" s="67"/>
      <c r="M44" s="26"/>
    </row>
    <row r="45" spans="1:20" x14ac:dyDescent="0.2">
      <c r="B45" s="30"/>
      <c r="C45" s="35"/>
      <c r="D45" s="35"/>
      <c r="E45" s="35"/>
      <c r="F45" s="35"/>
      <c r="G45" s="35"/>
      <c r="H45" s="35"/>
      <c r="I45" s="28"/>
      <c r="J45" s="28"/>
      <c r="K45" s="28"/>
    </row>
    <row r="46" spans="1:20" x14ac:dyDescent="0.2">
      <c r="B46" s="30"/>
      <c r="C46" s="35"/>
      <c r="D46" s="35"/>
      <c r="E46" s="35"/>
      <c r="F46" s="35"/>
      <c r="G46" s="35"/>
      <c r="H46" s="35"/>
    </row>
    <row r="47" spans="1:20" x14ac:dyDescent="0.2">
      <c r="B47" s="30"/>
      <c r="C47" s="26"/>
      <c r="G47" s="26"/>
    </row>
    <row r="48" spans="1:20" x14ac:dyDescent="0.2">
      <c r="B48" s="30"/>
      <c r="C48" s="26"/>
      <c r="D48" s="26"/>
      <c r="E48" s="26"/>
      <c r="F48" s="26"/>
      <c r="G48" s="26"/>
      <c r="H48" s="26"/>
      <c r="I48" s="31"/>
      <c r="J48" s="31"/>
      <c r="K48" s="31"/>
      <c r="L48" s="31"/>
      <c r="M48" s="31"/>
      <c r="N48" s="31"/>
    </row>
    <row r="49" spans="2:14" x14ac:dyDescent="0.2">
      <c r="B49" s="30"/>
      <c r="C49" s="26"/>
      <c r="D49" s="26"/>
      <c r="E49" s="26"/>
      <c r="F49" s="26"/>
      <c r="G49" s="26"/>
      <c r="H49" s="26"/>
      <c r="I49" s="31"/>
      <c r="J49" s="31"/>
      <c r="K49" s="31"/>
      <c r="L49" s="31"/>
      <c r="M49" s="31"/>
    </row>
    <row r="50" spans="2:14" x14ac:dyDescent="0.2">
      <c r="B50" s="30"/>
      <c r="C50" s="26"/>
      <c r="D50" s="26"/>
      <c r="E50" s="26"/>
      <c r="F50" s="26"/>
      <c r="G50" s="26"/>
      <c r="H50" s="26"/>
      <c r="I50" s="22"/>
      <c r="J50" s="22"/>
      <c r="K50" s="22"/>
      <c r="L50" s="31"/>
      <c r="M50" s="31"/>
      <c r="N50" s="31"/>
    </row>
    <row r="51" spans="2:14" x14ac:dyDescent="0.2">
      <c r="B51" s="30"/>
      <c r="D51" s="32"/>
      <c r="E51" s="33"/>
      <c r="F51" s="33"/>
      <c r="G51" s="33"/>
      <c r="H51" s="33"/>
      <c r="I51" s="33"/>
      <c r="J51" s="33"/>
      <c r="K51" s="33"/>
      <c r="L51" s="31"/>
      <c r="M51" s="31"/>
      <c r="N51" s="31"/>
    </row>
    <row r="52" spans="2:14" x14ac:dyDescent="0.2">
      <c r="B52" s="30"/>
      <c r="D52" s="31"/>
      <c r="E52" s="22"/>
      <c r="F52" s="22"/>
      <c r="G52" s="22"/>
      <c r="H52" s="22"/>
      <c r="I52" s="22"/>
      <c r="J52" s="22"/>
      <c r="K52" s="22"/>
      <c r="L52" s="22"/>
      <c r="M52" s="22"/>
      <c r="N52" s="22"/>
    </row>
    <row r="53" spans="2:14" x14ac:dyDescent="0.2">
      <c r="B53" s="34"/>
      <c r="D53" s="22"/>
      <c r="E53" s="35"/>
      <c r="F53" s="35"/>
      <c r="G53" s="35"/>
      <c r="H53" s="35"/>
      <c r="I53" s="35"/>
      <c r="J53" s="35"/>
      <c r="K53" s="35"/>
      <c r="L53" s="35"/>
      <c r="M53" s="35"/>
      <c r="N53" s="35"/>
    </row>
    <row r="54" spans="2:14" x14ac:dyDescent="0.2">
      <c r="C54" s="24"/>
      <c r="D54" s="24"/>
      <c r="E54" s="24"/>
      <c r="F54" s="24"/>
      <c r="G54" s="24"/>
      <c r="H54" s="24"/>
      <c r="I54" s="24"/>
    </row>
    <row r="55" spans="2:14" x14ac:dyDescent="0.2">
      <c r="B55" s="68"/>
      <c r="D55" s="28"/>
    </row>
    <row r="56" spans="2:14" x14ac:dyDescent="0.2">
      <c r="B56" s="68"/>
      <c r="D56" s="37"/>
    </row>
    <row r="57" spans="2:14" x14ac:dyDescent="0.2">
      <c r="B57" s="68"/>
      <c r="D57" s="38"/>
    </row>
    <row r="58" spans="2:14" x14ac:dyDescent="0.2">
      <c r="B58" s="68"/>
    </row>
    <row r="59" spans="2:14" x14ac:dyDescent="0.2">
      <c r="B59" s="68"/>
      <c r="D59" s="35"/>
    </row>
    <row r="60" spans="2:14" x14ac:dyDescent="0.2">
      <c r="B60" s="68"/>
      <c r="D60" s="37"/>
    </row>
    <row r="61" spans="2:14" x14ac:dyDescent="0.2">
      <c r="B61" s="68"/>
    </row>
    <row r="62" spans="2:14" x14ac:dyDescent="0.2">
      <c r="B62" s="68"/>
      <c r="D62" s="39"/>
      <c r="E62" s="35"/>
      <c r="F62" s="35"/>
      <c r="G62" s="35"/>
      <c r="H62" s="35"/>
      <c r="I62" s="35"/>
      <c r="J62" s="35"/>
      <c r="K62" s="35"/>
      <c r="L62" s="35"/>
      <c r="M62" s="35"/>
      <c r="N62" s="35"/>
    </row>
    <row r="63" spans="2:14" x14ac:dyDescent="0.2">
      <c r="B63" s="6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</row>
    <row r="65" spans="2:4" x14ac:dyDescent="0.2">
      <c r="B65" s="68"/>
      <c r="D65" s="39"/>
    </row>
  </sheetData>
  <pageMargins left="0.42" right="0.44" top="1" bottom="1" header="0.5" footer="0.5"/>
  <pageSetup scale="55" orientation="landscape" horizontalDpi="200" verticalDpi="200" r:id="rId1"/>
  <headerFooter alignWithMargins="0">
    <oddHeader>&amp;L&amp;F &amp;A&amp;C&amp;"Arial,Bold"SOUTHERN CALIFORNIA GAS COMPANY
I.99-07-003
SCGC DATA REQUEST #5 RESPONSE TO QUESTION 23</oddHeader>
    <oddFooter>&amp;L&amp;D&amp;C&amp;P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9"/>
  <sheetViews>
    <sheetView workbookViewId="0">
      <selection activeCell="B14" sqref="B14"/>
    </sheetView>
  </sheetViews>
  <sheetFormatPr defaultRowHeight="15" x14ac:dyDescent="0.2"/>
  <cols>
    <col min="1" max="1" width="48.140625" style="2" customWidth="1"/>
    <col min="2" max="5" width="15.5703125" style="2" customWidth="1"/>
    <col min="6" max="6" width="13.28515625" style="2" customWidth="1"/>
    <col min="7" max="7" width="15.85546875" style="2" customWidth="1"/>
    <col min="8" max="8" width="18.140625" style="2" customWidth="1"/>
    <col min="9" max="9" width="2.28515625" style="2" customWidth="1"/>
    <col min="10" max="10" width="14.5703125" style="2" customWidth="1"/>
    <col min="11" max="11" width="11" style="2" customWidth="1"/>
    <col min="12" max="12" width="15" style="2" customWidth="1"/>
    <col min="13" max="13" width="17.42578125" style="2" customWidth="1"/>
    <col min="14" max="14" width="15.5703125" style="2" customWidth="1"/>
    <col min="15" max="15" width="19.140625" style="2" customWidth="1"/>
    <col min="16" max="16" width="13.7109375" style="2" customWidth="1"/>
    <col min="17" max="17" width="13.28515625" style="2" customWidth="1"/>
    <col min="18" max="16384" width="9.140625" style="2"/>
  </cols>
  <sheetData>
    <row r="1" spans="1:16" ht="15.75" x14ac:dyDescent="0.25">
      <c r="A1" s="1"/>
      <c r="B1" s="1"/>
      <c r="C1" s="1"/>
      <c r="D1" s="1"/>
      <c r="E1" s="1"/>
    </row>
    <row r="2" spans="1:16" x14ac:dyDescent="0.2">
      <c r="A2" s="3" t="s">
        <v>36</v>
      </c>
      <c r="B2" s="3"/>
      <c r="C2" s="3"/>
      <c r="D2" s="3"/>
      <c r="E2" s="3"/>
    </row>
    <row r="3" spans="1:16" x14ac:dyDescent="0.2">
      <c r="A3" s="3"/>
      <c r="B3" s="3"/>
      <c r="C3" s="3"/>
      <c r="D3" s="3"/>
      <c r="E3" s="3"/>
    </row>
    <row r="4" spans="1:16" ht="15.75" x14ac:dyDescent="0.25">
      <c r="A4" s="4" t="s">
        <v>1</v>
      </c>
      <c r="B4" s="69"/>
      <c r="C4" s="69"/>
      <c r="D4" s="69"/>
      <c r="E4" s="69"/>
      <c r="F4" s="5"/>
      <c r="G4" s="5"/>
      <c r="H4" s="6"/>
    </row>
    <row r="5" spans="1:16" x14ac:dyDescent="0.2">
      <c r="A5" s="7" t="s">
        <v>2</v>
      </c>
      <c r="B5" s="9"/>
      <c r="C5" s="9"/>
      <c r="D5" s="9"/>
      <c r="E5" s="9"/>
      <c r="F5" s="8">
        <v>0.5</v>
      </c>
      <c r="G5" s="9"/>
      <c r="H5" s="10"/>
      <c r="I5" s="9"/>
      <c r="J5" s="9"/>
      <c r="K5" s="9"/>
      <c r="L5" s="9"/>
    </row>
    <row r="6" spans="1:16" x14ac:dyDescent="0.2">
      <c r="A6" s="7" t="s">
        <v>3</v>
      </c>
      <c r="B6" s="9"/>
      <c r="C6" s="9"/>
      <c r="D6" s="9"/>
      <c r="E6" s="9"/>
      <c r="F6" s="8">
        <v>0.01</v>
      </c>
      <c r="G6" s="9"/>
      <c r="H6" s="10"/>
      <c r="I6" s="9"/>
      <c r="J6" s="9"/>
      <c r="K6" s="9"/>
      <c r="L6" s="9"/>
    </row>
    <row r="7" spans="1:16" x14ac:dyDescent="0.2">
      <c r="A7" s="11"/>
      <c r="B7" s="70"/>
      <c r="C7" s="70"/>
      <c r="D7" s="70"/>
      <c r="E7" s="70"/>
      <c r="F7" s="9" t="s">
        <v>4</v>
      </c>
      <c r="G7" s="9" t="s">
        <v>5</v>
      </c>
      <c r="H7" s="10" t="s">
        <v>6</v>
      </c>
      <c r="J7" s="12"/>
      <c r="K7" s="12"/>
      <c r="L7" s="12"/>
    </row>
    <row r="8" spans="1:16" x14ac:dyDescent="0.2">
      <c r="A8" s="13" t="s">
        <v>37</v>
      </c>
      <c r="B8" s="71"/>
      <c r="C8" s="71"/>
      <c r="D8" s="71"/>
      <c r="E8" s="71"/>
      <c r="F8" s="14">
        <v>1.4999999999999999E-2</v>
      </c>
      <c r="G8" s="14">
        <v>8.5000000000000006E-2</v>
      </c>
      <c r="H8" s="15">
        <v>0.1</v>
      </c>
      <c r="J8" s="16"/>
      <c r="K8" s="16"/>
      <c r="L8" s="16"/>
    </row>
    <row r="9" spans="1:16" hidden="1" x14ac:dyDescent="0.2">
      <c r="A9" s="17" t="s">
        <v>8</v>
      </c>
      <c r="B9" s="17"/>
      <c r="C9" s="17"/>
      <c r="D9" s="17"/>
      <c r="E9" s="17"/>
      <c r="F9" s="8">
        <v>1</v>
      </c>
      <c r="G9" s="8">
        <v>0.74935473777244754</v>
      </c>
      <c r="H9" s="8">
        <v>0.25064526222755251</v>
      </c>
      <c r="J9" s="16"/>
      <c r="K9" s="16"/>
      <c r="L9" s="16"/>
    </row>
    <row r="10" spans="1:16" hidden="1" x14ac:dyDescent="0.2">
      <c r="A10" s="12" t="s">
        <v>9</v>
      </c>
      <c r="B10" s="12"/>
      <c r="C10" s="12"/>
      <c r="D10" s="12"/>
      <c r="E10" s="12"/>
      <c r="F10" s="8">
        <v>0.1</v>
      </c>
      <c r="G10" s="16">
        <v>2.0017221809512289E-2</v>
      </c>
      <c r="H10" s="16">
        <v>0.33912470255604243</v>
      </c>
      <c r="P10" s="18"/>
    </row>
    <row r="11" spans="1:16" ht="15.75" x14ac:dyDescent="0.25">
      <c r="A11" s="12"/>
      <c r="B11" s="12"/>
      <c r="C11" s="12"/>
      <c r="D11" s="12"/>
      <c r="E11" s="12"/>
      <c r="F11" s="72"/>
      <c r="G11" s="72"/>
      <c r="H11" s="72"/>
      <c r="I11" s="72"/>
      <c r="P11" s="18"/>
    </row>
    <row r="12" spans="1:16" ht="15.75" x14ac:dyDescent="0.25">
      <c r="B12" s="73" t="s">
        <v>45</v>
      </c>
      <c r="C12" s="73"/>
      <c r="D12" s="73" t="s">
        <v>46</v>
      </c>
      <c r="E12" s="73"/>
      <c r="F12" s="72" t="s">
        <v>10</v>
      </c>
      <c r="G12" s="72"/>
      <c r="H12" s="72"/>
      <c r="J12" s="72" t="s">
        <v>38</v>
      </c>
      <c r="K12" s="72"/>
      <c r="L12" s="72"/>
    </row>
    <row r="13" spans="1:16" s="19" customFormat="1" ht="45.75" x14ac:dyDescent="0.25">
      <c r="B13" s="19" t="s">
        <v>4</v>
      </c>
      <c r="C13" s="19" t="s">
        <v>12</v>
      </c>
      <c r="D13" s="19" t="s">
        <v>4</v>
      </c>
      <c r="E13" s="19" t="s">
        <v>12</v>
      </c>
      <c r="F13" s="19" t="s">
        <v>4</v>
      </c>
      <c r="G13" s="19" t="s">
        <v>12</v>
      </c>
      <c r="H13" s="20" t="s">
        <v>13</v>
      </c>
      <c r="J13" s="19" t="s">
        <v>14</v>
      </c>
      <c r="K13" s="19" t="s">
        <v>15</v>
      </c>
      <c r="L13" s="19" t="s">
        <v>16</v>
      </c>
      <c r="M13" s="20" t="s">
        <v>17</v>
      </c>
    </row>
    <row r="14" spans="1:16" s="40" customFormat="1" ht="30" x14ac:dyDescent="0.2">
      <c r="A14" s="40" t="s">
        <v>39</v>
      </c>
      <c r="B14" s="40">
        <f>'Attachment 8 Calc.'!C14/'Attachment 8 Calc.'!C37*10</f>
        <v>41.457555215443655</v>
      </c>
      <c r="C14" s="40">
        <f>'Attachment 8 Calc.'!D14/'Attachment 8 Calc.'!D37*10</f>
        <v>27.249846501581608</v>
      </c>
      <c r="D14" s="40">
        <f>'Attachment 8 Calc.'!E14/'Attachment 8 Calc.'!E37*10</f>
        <v>41.457555215443655</v>
      </c>
      <c r="E14" s="40">
        <f>'Attachment 8 Calc.'!F14/'Attachment 8 Calc.'!F37*10</f>
        <v>27.249846501581608</v>
      </c>
      <c r="F14" s="40">
        <f>'Attachment 8 Calc.'!G14/'Attachment 8 Calc.'!G37*10</f>
        <v>41.457555215443655</v>
      </c>
      <c r="G14" s="40">
        <f>'Attachment 8 Calc.'!H14/'Attachment 8 Calc.'!H37*10</f>
        <v>27.249846501581612</v>
      </c>
      <c r="H14" s="40">
        <f>'Attachment 8 Calc.'!I14/'Attachment 8 Calc.'!I37*10</f>
        <v>37.896460339205021</v>
      </c>
      <c r="J14" s="40">
        <f>'Attachment 8'!F14/'Attachment 8'!F36*10</f>
        <v>2.6781872086642773</v>
      </c>
      <c r="K14" s="40">
        <f>'Attachment 8'!G14/'Attachment 8'!G36*10</f>
        <v>5.0899369665912273</v>
      </c>
      <c r="L14" s="40">
        <f>'Attachment 8'!H14/'Attachment 8'!H36*10</f>
        <v>1.9462094883015442</v>
      </c>
      <c r="M14" s="40">
        <f>'Attachment 8'!I14/'Attachment 8'!I36*10</f>
        <v>3.0495069771576166</v>
      </c>
    </row>
    <row r="15" spans="1:16" s="28" customFormat="1" x14ac:dyDescent="0.2"/>
    <row r="16" spans="1:16" s="28" customFormat="1" ht="45" x14ac:dyDescent="0.2">
      <c r="A16" s="40" t="s">
        <v>40</v>
      </c>
      <c r="B16" s="40">
        <f>'Attachment 8 Calc.'!C32/'Attachment 8 Calc.'!C37*10</f>
        <v>41.34902457382131</v>
      </c>
      <c r="C16" s="40">
        <f>'Attachment 8 Calc.'!D32/'Attachment 8 Calc.'!D37*10</f>
        <v>27.499607367165616</v>
      </c>
      <c r="D16" s="40">
        <f>'Attachment 8 Calc.'!E32/'Attachment 8 Calc.'!E37*10</f>
        <v>39.364566307985399</v>
      </c>
      <c r="E16" s="40">
        <f>'Attachment 8 Calc.'!F32/'Attachment 8 Calc.'!F37*10</f>
        <v>25.574759426465278</v>
      </c>
      <c r="F16" s="40">
        <f>'Attachment 8 Calc.'!G32/'Attachment 8 Calc.'!G37*10</f>
        <v>41.309301232542346</v>
      </c>
      <c r="G16" s="40">
        <f>'Attachment 8 Calc.'!H32/'Attachment 8 Calc.'!H37*10</f>
        <v>26.846843881810006</v>
      </c>
      <c r="H16" s="40">
        <f>'Attachment 8 Calc.'!I32/'Attachment 8 Calc.'!I37*10</f>
        <v>37.684354817413251</v>
      </c>
      <c r="I16" s="40"/>
      <c r="J16" s="40">
        <f>'Attachment 8'!F32/'Attachment 8'!F36*10</f>
        <v>2.6934586780943146</v>
      </c>
      <c r="K16" s="40">
        <f>'Attachment 8'!G32/'Attachment 8'!G36*10</f>
        <v>5.2892166199736828</v>
      </c>
      <c r="L16" s="40">
        <f>'Attachment 8'!H32/'Attachment 8'!H36*10</f>
        <v>2.183746614628864</v>
      </c>
      <c r="M16" s="40">
        <f>'Attachment 8'!I32/'Attachment 8'!I36*10</f>
        <v>3.170708471473223</v>
      </c>
    </row>
    <row r="17" spans="1:13" s="28" customFormat="1" x14ac:dyDescent="0.2">
      <c r="F17" s="41"/>
      <c r="G17" s="41"/>
      <c r="H17" s="41"/>
      <c r="I17" s="41"/>
      <c r="J17" s="41"/>
      <c r="K17" s="41"/>
      <c r="L17" s="41"/>
    </row>
    <row r="18" spans="1:13" s="42" customFormat="1" ht="15.75" x14ac:dyDescent="0.25">
      <c r="A18" s="42" t="s">
        <v>41</v>
      </c>
      <c r="B18" s="42">
        <f t="shared" ref="B18:H18" si="0">B16-B14</f>
        <v>-0.1085306416223446</v>
      </c>
      <c r="C18" s="42">
        <f t="shared" si="0"/>
        <v>0.24976086558400823</v>
      </c>
      <c r="D18" s="42">
        <f t="shared" si="0"/>
        <v>-2.0929889074582562</v>
      </c>
      <c r="E18" s="42">
        <f t="shared" si="0"/>
        <v>-1.6750870751163305</v>
      </c>
      <c r="F18" s="42">
        <f t="shared" si="0"/>
        <v>-0.1482539829013092</v>
      </c>
      <c r="G18" s="42">
        <f t="shared" si="0"/>
        <v>-0.40300261977160545</v>
      </c>
      <c r="H18" s="42">
        <f t="shared" si="0"/>
        <v>-0.21210552179177</v>
      </c>
      <c r="J18" s="42">
        <f>J16-J14</f>
        <v>1.5271469430037321E-2</v>
      </c>
      <c r="K18" s="42">
        <f>K16-K14</f>
        <v>0.19927965338245546</v>
      </c>
      <c r="L18" s="42">
        <f>L16-L14</f>
        <v>0.23753712632731983</v>
      </c>
      <c r="M18" s="42">
        <f>M16-M14</f>
        <v>0.12120149431560634</v>
      </c>
    </row>
    <row r="19" spans="1:13" s="22" customFormat="1" x14ac:dyDescent="0.2"/>
    <row r="20" spans="1:13" s="22" customFormat="1" x14ac:dyDescent="0.2">
      <c r="A20" s="2" t="s">
        <v>42</v>
      </c>
      <c r="B20" s="2"/>
      <c r="C20" s="2"/>
      <c r="D20" s="2"/>
      <c r="E20" s="2"/>
    </row>
    <row r="21" spans="1:13" s="22" customFormat="1" x14ac:dyDescent="0.2">
      <c r="A21" s="22" t="s">
        <v>43</v>
      </c>
    </row>
    <row r="22" spans="1:13" s="22" customFormat="1" x14ac:dyDescent="0.2"/>
    <row r="23" spans="1:13" s="22" customFormat="1" x14ac:dyDescent="0.2"/>
    <row r="24" spans="1:13" s="22" customFormat="1" x14ac:dyDescent="0.2"/>
    <row r="25" spans="1:13" s="22" customFormat="1" ht="15.75" x14ac:dyDescent="0.25">
      <c r="A25" s="25"/>
      <c r="B25" s="25"/>
      <c r="C25" s="25"/>
      <c r="D25" s="25"/>
      <c r="E25" s="25"/>
    </row>
    <row r="26" spans="1:13" s="22" customFormat="1" x14ac:dyDescent="0.2">
      <c r="A26" s="34"/>
      <c r="B26" s="34"/>
      <c r="C26" s="34"/>
      <c r="D26" s="34"/>
      <c r="E26" s="34"/>
    </row>
    <row r="27" spans="1:13" s="22" customFormat="1" x14ac:dyDescent="0.2">
      <c r="A27" s="34"/>
      <c r="B27" s="34"/>
      <c r="C27" s="34"/>
      <c r="D27" s="34"/>
      <c r="E27" s="34"/>
    </row>
    <row r="28" spans="1:13" s="22" customFormat="1" x14ac:dyDescent="0.2">
      <c r="A28" s="34"/>
      <c r="B28" s="34"/>
      <c r="C28" s="34"/>
      <c r="D28" s="34"/>
      <c r="E28" s="34"/>
    </row>
    <row r="29" spans="1:13" s="22" customFormat="1" x14ac:dyDescent="0.2">
      <c r="A29" s="34"/>
      <c r="B29" s="34"/>
      <c r="C29" s="34"/>
      <c r="D29" s="34"/>
      <c r="E29" s="34"/>
    </row>
    <row r="30" spans="1:13" s="22" customFormat="1" x14ac:dyDescent="0.2">
      <c r="A30" s="34"/>
      <c r="B30" s="34"/>
      <c r="C30" s="34"/>
      <c r="D30" s="34"/>
      <c r="E30" s="34"/>
    </row>
    <row r="31" spans="1:13" s="22" customFormat="1" x14ac:dyDescent="0.2">
      <c r="A31" s="34"/>
      <c r="B31" s="34"/>
      <c r="C31" s="34"/>
      <c r="D31" s="34"/>
      <c r="E31" s="34"/>
    </row>
    <row r="32" spans="1:13" s="22" customFormat="1" x14ac:dyDescent="0.2">
      <c r="A32" s="34"/>
      <c r="B32" s="34"/>
      <c r="C32" s="34"/>
      <c r="D32" s="34"/>
      <c r="E32" s="34"/>
    </row>
    <row r="33" spans="1:15" s="22" customFormat="1" x14ac:dyDescent="0.2">
      <c r="A33" s="34"/>
      <c r="B33" s="34"/>
      <c r="C33" s="34"/>
      <c r="D33" s="34"/>
      <c r="E33" s="34"/>
    </row>
    <row r="34" spans="1:15" s="22" customFormat="1" x14ac:dyDescent="0.2">
      <c r="A34" s="34"/>
      <c r="B34" s="34"/>
      <c r="C34" s="34"/>
      <c r="D34" s="34"/>
      <c r="E34" s="34"/>
    </row>
    <row r="35" spans="1:15" x14ac:dyDescent="0.2">
      <c r="A35" s="30"/>
      <c r="B35" s="30"/>
      <c r="C35" s="30"/>
      <c r="D35" s="30"/>
      <c r="E35" s="30"/>
      <c r="G35" s="32"/>
      <c r="H35" s="33"/>
      <c r="I35" s="33"/>
      <c r="J35" s="33"/>
      <c r="K35" s="33"/>
      <c r="L35" s="33"/>
      <c r="M35" s="31"/>
      <c r="N35" s="31"/>
      <c r="O35" s="31"/>
    </row>
    <row r="36" spans="1:15" x14ac:dyDescent="0.2">
      <c r="A36" s="30"/>
      <c r="B36" s="30"/>
      <c r="C36" s="30"/>
      <c r="D36" s="30"/>
      <c r="E36" s="30"/>
      <c r="G36" s="31"/>
      <c r="H36" s="22"/>
      <c r="I36" s="22"/>
      <c r="J36" s="22"/>
      <c r="K36" s="22"/>
      <c r="L36" s="22"/>
      <c r="M36" s="22"/>
      <c r="N36" s="22"/>
      <c r="O36" s="22"/>
    </row>
    <row r="37" spans="1:15" x14ac:dyDescent="0.2">
      <c r="A37" s="34"/>
      <c r="B37" s="34"/>
      <c r="C37" s="34"/>
      <c r="D37" s="34"/>
      <c r="E37" s="34"/>
      <c r="G37" s="22"/>
      <c r="H37" s="35"/>
      <c r="I37" s="35"/>
      <c r="J37" s="35"/>
      <c r="K37" s="35"/>
      <c r="L37" s="35"/>
      <c r="M37" s="35"/>
      <c r="N37" s="35"/>
      <c r="O37" s="35"/>
    </row>
    <row r="38" spans="1:15" x14ac:dyDescent="0.2">
      <c r="F38" s="24"/>
      <c r="G38" s="24"/>
      <c r="H38" s="24"/>
      <c r="I38" s="24"/>
      <c r="J38" s="24"/>
    </row>
    <row r="39" spans="1:15" x14ac:dyDescent="0.2">
      <c r="A39" s="36"/>
      <c r="B39" s="36"/>
      <c r="C39" s="36"/>
      <c r="D39" s="36"/>
      <c r="E39" s="36"/>
      <c r="G39" s="28"/>
    </row>
    <row r="40" spans="1:15" x14ac:dyDescent="0.2">
      <c r="A40" s="36"/>
      <c r="B40" s="36"/>
      <c r="C40" s="36"/>
      <c r="D40" s="36"/>
      <c r="E40" s="36"/>
      <c r="G40" s="37"/>
    </row>
    <row r="41" spans="1:15" x14ac:dyDescent="0.2">
      <c r="A41" s="36"/>
      <c r="B41" s="36"/>
      <c r="C41" s="36"/>
      <c r="D41" s="36"/>
      <c r="E41" s="36"/>
      <c r="G41" s="38"/>
    </row>
    <row r="42" spans="1:15" x14ac:dyDescent="0.2">
      <c r="A42" s="36"/>
      <c r="B42" s="36"/>
      <c r="C42" s="36"/>
      <c r="D42" s="36"/>
      <c r="E42" s="36"/>
    </row>
    <row r="43" spans="1:15" x14ac:dyDescent="0.2">
      <c r="A43" s="36"/>
      <c r="B43" s="36"/>
      <c r="C43" s="36"/>
      <c r="D43" s="36"/>
      <c r="E43" s="36"/>
      <c r="G43" s="35"/>
    </row>
    <row r="44" spans="1:15" x14ac:dyDescent="0.2">
      <c r="A44" s="36"/>
      <c r="B44" s="36"/>
      <c r="C44" s="36"/>
      <c r="D44" s="36"/>
      <c r="E44" s="36"/>
      <c r="G44" s="37"/>
    </row>
    <row r="45" spans="1:15" x14ac:dyDescent="0.2">
      <c r="A45" s="36"/>
      <c r="B45" s="36"/>
      <c r="C45" s="36"/>
      <c r="D45" s="36"/>
      <c r="E45" s="36"/>
    </row>
    <row r="46" spans="1:15" x14ac:dyDescent="0.2">
      <c r="A46" s="36"/>
      <c r="B46" s="36"/>
      <c r="C46" s="36"/>
      <c r="D46" s="36"/>
      <c r="E46" s="36"/>
      <c r="G46" s="39"/>
      <c r="H46" s="35"/>
      <c r="I46" s="35"/>
      <c r="J46" s="35"/>
      <c r="K46" s="35"/>
      <c r="L46" s="35"/>
      <c r="M46" s="35"/>
      <c r="N46" s="35"/>
      <c r="O46" s="35"/>
    </row>
    <row r="47" spans="1:15" x14ac:dyDescent="0.2">
      <c r="A47" s="36"/>
      <c r="B47" s="36"/>
      <c r="C47" s="36"/>
      <c r="D47" s="36"/>
      <c r="E47" s="36"/>
      <c r="G47" s="38"/>
      <c r="H47" s="38"/>
      <c r="I47" s="38"/>
      <c r="J47" s="38"/>
      <c r="K47" s="38"/>
      <c r="L47" s="38"/>
      <c r="M47" s="38"/>
      <c r="N47" s="38"/>
      <c r="O47" s="38"/>
    </row>
    <row r="49" spans="1:7" x14ac:dyDescent="0.2">
      <c r="A49" s="36"/>
      <c r="B49" s="36"/>
      <c r="C49" s="36"/>
      <c r="D49" s="36"/>
      <c r="E49" s="36"/>
      <c r="G49" s="39"/>
    </row>
  </sheetData>
  <pageMargins left="0.75" right="0.75" top="1" bottom="1" header="0.5" footer="0.5"/>
  <pageSetup scale="79" orientation="landscape" horizontalDpi="300" verticalDpi="300" r:id="rId1"/>
  <headerFooter alignWithMargins="0">
    <oddHeader>&amp;C&amp;"Arial,Bold"&amp;12Exhibit 9
Estimated Rate Impacts of Comprehensive Settlement in 2002
 Including Estimated Restructured Services</oddHeader>
    <oddFooter>&amp;LDRAFT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Attachment 8</vt:lpstr>
      <vt:lpstr>Attachment 9</vt:lpstr>
      <vt:lpstr>Attachment 8 Calc.</vt:lpstr>
      <vt:lpstr>Attachment 9 Calc.</vt:lpstr>
      <vt:lpstr>'Attachment 8 Calc.'!Print_Titles</vt:lpstr>
    </vt:vector>
  </TitlesOfParts>
  <Company>Sempra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Gillian Wright</dc:creator>
  <cp:lastModifiedBy>Jan Havlíček</cp:lastModifiedBy>
  <dcterms:created xsi:type="dcterms:W3CDTF">2000-05-25T18:04:32Z</dcterms:created>
  <dcterms:modified xsi:type="dcterms:W3CDTF">2023-09-10T13:23:14Z</dcterms:modified>
</cp:coreProperties>
</file>