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E19108-20C1-4804-B151-0A416D74EA9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NAmerica.SAmerica" sheetId="2" r:id="rId2"/>
  </sheets>
  <externalReferences>
    <externalReference r:id="rId3"/>
  </externalReferences>
  <definedNames>
    <definedName name="_xlnm.Print_Area" localSheetId="0">Sheet1!$A$1:$X$38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2" i="2"/>
  <c r="H12" i="2"/>
  <c r="J12" i="2"/>
  <c r="L12" i="2"/>
  <c r="N12" i="2"/>
  <c r="P12" i="2"/>
  <c r="R12" i="2"/>
  <c r="T12" i="2"/>
  <c r="R13" i="2"/>
  <c r="R14" i="2"/>
  <c r="R15" i="2"/>
  <c r="T15" i="2"/>
  <c r="R16" i="2"/>
  <c r="T16" i="2"/>
  <c r="R17" i="2"/>
  <c r="T17" i="2"/>
  <c r="B18" i="2"/>
  <c r="D18" i="2"/>
  <c r="F18" i="2"/>
  <c r="H18" i="2"/>
  <c r="J18" i="2"/>
  <c r="L18" i="2"/>
  <c r="N18" i="2"/>
  <c r="P18" i="2"/>
  <c r="R18" i="2"/>
  <c r="T18" i="2"/>
  <c r="F19" i="2"/>
  <c r="R19" i="2"/>
  <c r="T19" i="2"/>
  <c r="B20" i="2"/>
  <c r="F20" i="2"/>
  <c r="J20" i="2"/>
  <c r="N20" i="2"/>
  <c r="R20" i="2"/>
  <c r="T20" i="2"/>
  <c r="B22" i="2"/>
  <c r="D22" i="2"/>
  <c r="F22" i="2"/>
  <c r="H22" i="2"/>
  <c r="J22" i="2"/>
  <c r="L22" i="2"/>
  <c r="N22" i="2"/>
  <c r="P22" i="2"/>
  <c r="R22" i="2"/>
  <c r="T22" i="2"/>
  <c r="A27" i="2"/>
  <c r="B31" i="2"/>
  <c r="F31" i="2"/>
  <c r="J31" i="2"/>
  <c r="N31" i="2"/>
  <c r="P31" i="2"/>
  <c r="P32" i="2"/>
  <c r="P36" i="2"/>
  <c r="P41" i="2"/>
  <c r="P43" i="2"/>
  <c r="P44" i="2"/>
  <c r="P45" i="2"/>
  <c r="P47" i="2"/>
  <c r="P49" i="2"/>
  <c r="U1" i="1"/>
  <c r="E12" i="1"/>
  <c r="G12" i="1"/>
  <c r="I12" i="1"/>
  <c r="K12" i="1"/>
  <c r="M12" i="1"/>
  <c r="O12" i="1"/>
  <c r="Q12" i="1"/>
  <c r="S12" i="1"/>
  <c r="U12" i="1"/>
  <c r="W12" i="1"/>
  <c r="G13" i="1"/>
  <c r="K13" i="1"/>
  <c r="O13" i="1"/>
  <c r="S13" i="1"/>
  <c r="U13" i="1"/>
  <c r="W13" i="1"/>
  <c r="U14" i="1"/>
  <c r="W14" i="1"/>
  <c r="U15" i="1"/>
  <c r="W15" i="1"/>
  <c r="G17" i="1"/>
  <c r="K17" i="1"/>
  <c r="M17" i="1"/>
  <c r="O17" i="1"/>
  <c r="Q17" i="1"/>
  <c r="S17" i="1"/>
  <c r="U17" i="1"/>
  <c r="W17" i="1"/>
  <c r="G18" i="1"/>
  <c r="K18" i="1"/>
  <c r="O18" i="1"/>
  <c r="S18" i="1"/>
  <c r="U18" i="1"/>
  <c r="W18" i="1"/>
  <c r="U19" i="1"/>
  <c r="W19" i="1"/>
  <c r="G21" i="1"/>
  <c r="K21" i="1"/>
  <c r="O21" i="1"/>
  <c r="S21" i="1"/>
  <c r="U21" i="1"/>
  <c r="W21" i="1"/>
  <c r="G22" i="1"/>
  <c r="K22" i="1"/>
  <c r="O22" i="1"/>
  <c r="S22" i="1"/>
  <c r="U22" i="1"/>
  <c r="W22" i="1"/>
  <c r="G23" i="1"/>
  <c r="K23" i="1"/>
  <c r="O23" i="1"/>
  <c r="S23" i="1"/>
  <c r="U23" i="1"/>
  <c r="W23" i="1"/>
  <c r="G24" i="1"/>
  <c r="K24" i="1"/>
  <c r="O24" i="1"/>
  <c r="S24" i="1"/>
  <c r="U24" i="1"/>
  <c r="W24" i="1"/>
  <c r="G25" i="1"/>
  <c r="K25" i="1"/>
  <c r="O25" i="1"/>
  <c r="S25" i="1"/>
  <c r="U25" i="1"/>
  <c r="W25" i="1"/>
  <c r="E26" i="1"/>
  <c r="K26" i="1"/>
  <c r="O26" i="1"/>
  <c r="S26" i="1"/>
  <c r="U26" i="1"/>
  <c r="W26" i="1"/>
  <c r="E28" i="1"/>
  <c r="G28" i="1"/>
  <c r="I28" i="1"/>
  <c r="K28" i="1"/>
  <c r="M28" i="1"/>
  <c r="O28" i="1"/>
  <c r="Q28" i="1"/>
  <c r="S28" i="1"/>
  <c r="U28" i="1"/>
  <c r="W28" i="1"/>
  <c r="U33" i="1"/>
  <c r="U34" i="1"/>
  <c r="B38" i="1"/>
</calcChain>
</file>

<file path=xl/sharedStrings.xml><?xml version="1.0" encoding="utf-8"?>
<sst xmlns="http://schemas.openxmlformats.org/spreadsheetml/2006/main" count="80" uniqueCount="42">
  <si>
    <t>Americas</t>
  </si>
  <si>
    <t>Europe</t>
  </si>
  <si>
    <t>Global Markets</t>
  </si>
  <si>
    <t>Industrial Markets</t>
  </si>
  <si>
    <t>Networks</t>
  </si>
  <si>
    <t>Global Assets</t>
  </si>
  <si>
    <t>1st Quarter</t>
  </si>
  <si>
    <t>2nd Quarter</t>
  </si>
  <si>
    <t>3rd Quarter</t>
  </si>
  <si>
    <t>4th Quarter</t>
  </si>
  <si>
    <t>Total Year</t>
  </si>
  <si>
    <t>Enron Wholesale Services</t>
  </si>
  <si>
    <t>2001 Operating &amp; Strategic Plan</t>
  </si>
  <si>
    <t>Income Before Interest &amp; Taxes by Business Unit By Quarter</t>
  </si>
  <si>
    <t>(Millions of Dollars)</t>
  </si>
  <si>
    <t>Total</t>
  </si>
  <si>
    <t>Other Wholesale*</t>
  </si>
  <si>
    <t>*includes Wholesale Office of the Chair activity</t>
  </si>
  <si>
    <t>North America</t>
  </si>
  <si>
    <t>South America</t>
  </si>
  <si>
    <t>North America YTD target</t>
  </si>
  <si>
    <t>Delainey's original target</t>
  </si>
  <si>
    <t>N. America</t>
  </si>
  <si>
    <t>S. America</t>
  </si>
  <si>
    <t>OPERATING &amp; STRATEGIC PLAN</t>
  </si>
  <si>
    <t>EEOS</t>
  </si>
  <si>
    <t>Actual</t>
  </si>
  <si>
    <t>Plan</t>
  </si>
  <si>
    <t xml:space="preserve">YTD </t>
  </si>
  <si>
    <t>EES Wholesale</t>
  </si>
  <si>
    <t>** includes adjustment for non-billing of options by Corp</t>
  </si>
  <si>
    <t>CATS/Marguax</t>
  </si>
  <si>
    <t>Middle East</t>
  </si>
  <si>
    <t>*includes Wholesale Office of the Chair activity; also includes ($13M) Phantom Stock Adjustment Q1</t>
  </si>
  <si>
    <t>Plan**, ***</t>
  </si>
  <si>
    <t>*** includes Middle East adjustment between Global Markets and Other Wholesale, Corp Dev move from Americas to Other Wholesale</t>
  </si>
  <si>
    <t>Amended North America Target:</t>
  </si>
  <si>
    <t>Office of the Chair movement (1)</t>
  </si>
  <si>
    <t>Options Adj (2)</t>
  </si>
  <si>
    <t>Corp Dev Move to Other Wholesale (3)</t>
  </si>
  <si>
    <t>Difference</t>
  </si>
  <si>
    <t>Through 06/08/01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</si>
</sst>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_(* #,##0.0_);_(* \(#,##0.0\);_(* &quot;-&quot;??_);_(@_)"/>
    <numFmt numFmtId="166" formatCode="0.0"/>
    <numFmt numFmtId="167" formatCode="0.0_);\(0.0\)"/>
    <numFmt numFmtId="168" formatCode="_(* #,##0.0_);_(* \(#,##0.0\);_(* &quot;-&quot;?_);_(@_)"/>
  </numFmts>
  <fonts count="22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i/>
      <sz val="12"/>
      <color indexed="9"/>
      <name val="Times New Roman"/>
      <family val="1"/>
    </font>
    <font>
      <b/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 val="singleAccounting"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1"/>
      <color indexed="58"/>
      <name val="Arial"/>
      <family val="2"/>
    </font>
    <font>
      <b/>
      <sz val="11"/>
      <color indexed="57"/>
      <name val="Arial"/>
      <family val="2"/>
    </font>
    <font>
      <b/>
      <sz val="11"/>
      <color indexed="20"/>
      <name val="Arial"/>
      <family val="2"/>
    </font>
    <font>
      <b/>
      <sz val="11"/>
      <color indexed="53"/>
      <name val="Arial"/>
      <family val="2"/>
    </font>
    <font>
      <b/>
      <sz val="11"/>
      <color indexed="40"/>
      <name val="Arial"/>
      <family val="2"/>
    </font>
    <font>
      <b/>
      <sz val="11"/>
      <color indexed="46"/>
      <name val="Arial"/>
      <family val="2"/>
    </font>
    <font>
      <b/>
      <sz val="11"/>
      <color indexed="5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165" fontId="0" fillId="0" borderId="0" xfId="1" applyNumberFormat="1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4" xfId="0" applyNumberFormat="1" applyBorder="1"/>
    <xf numFmtId="0" fontId="0" fillId="0" borderId="0" xfId="0" applyBorder="1"/>
    <xf numFmtId="164" fontId="0" fillId="0" borderId="5" xfId="0" applyNumberForma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5" fontId="2" fillId="0" borderId="4" xfId="1" applyNumberFormat="1" applyFont="1" applyBorder="1"/>
    <xf numFmtId="165" fontId="2" fillId="0" borderId="5" xfId="1" applyNumberFormat="1" applyFont="1" applyBorder="1"/>
    <xf numFmtId="0" fontId="0" fillId="0" borderId="0" xfId="0" applyAlignment="1">
      <alignment horizontal="centerContinuous"/>
    </xf>
    <xf numFmtId="22" fontId="0" fillId="0" borderId="0" xfId="0" applyNumberFormat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66" fontId="0" fillId="0" borderId="6" xfId="0" applyNumberFormat="1" applyBorder="1" applyAlignment="1"/>
    <xf numFmtId="0" fontId="0" fillId="0" borderId="3" xfId="0" applyBorder="1"/>
    <xf numFmtId="164" fontId="0" fillId="0" borderId="6" xfId="0" applyNumberFormat="1" applyBorder="1"/>
    <xf numFmtId="0" fontId="3" fillId="0" borderId="0" xfId="0" applyFont="1" applyBorder="1"/>
    <xf numFmtId="0" fontId="0" fillId="0" borderId="0" xfId="0" applyBorder="1" applyAlignment="1">
      <alignment horizontal="right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7" xfId="0" applyBorder="1"/>
    <xf numFmtId="0" fontId="0" fillId="0" borderId="8" xfId="0" applyBorder="1"/>
    <xf numFmtId="167" fontId="5" fillId="0" borderId="0" xfId="1" applyNumberFormat="1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/>
    <xf numFmtId="22" fontId="8" fillId="0" borderId="0" xfId="0" applyNumberFormat="1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164" fontId="10" fillId="0" borderId="4" xfId="0" applyNumberFormat="1" applyFont="1" applyBorder="1"/>
    <xf numFmtId="0" fontId="10" fillId="0" borderId="0" xfId="0" applyFont="1" applyBorder="1"/>
    <xf numFmtId="164" fontId="10" fillId="0" borderId="5" xfId="0" applyNumberFormat="1" applyFont="1" applyBorder="1"/>
    <xf numFmtId="0" fontId="10" fillId="0" borderId="0" xfId="0" applyFont="1"/>
    <xf numFmtId="168" fontId="10" fillId="0" borderId="4" xfId="0" applyNumberFormat="1" applyFont="1" applyBorder="1"/>
    <xf numFmtId="168" fontId="10" fillId="0" borderId="5" xfId="0" applyNumberFormat="1" applyFont="1" applyBorder="1"/>
    <xf numFmtId="165" fontId="10" fillId="0" borderId="4" xfId="1" applyNumberFormat="1" applyFont="1" applyBorder="1"/>
    <xf numFmtId="165" fontId="10" fillId="0" borderId="5" xfId="1" applyNumberFormat="1" applyFont="1" applyBorder="1"/>
    <xf numFmtId="165" fontId="10" fillId="0" borderId="0" xfId="1" applyNumberFormat="1" applyFont="1"/>
    <xf numFmtId="165" fontId="11" fillId="0" borderId="4" xfId="1" applyNumberFormat="1" applyFont="1" applyBorder="1"/>
    <xf numFmtId="165" fontId="11" fillId="0" borderId="5" xfId="1" applyNumberFormat="1" applyFont="1" applyBorder="1"/>
    <xf numFmtId="164" fontId="10" fillId="0" borderId="7" xfId="0" applyNumberFormat="1" applyFont="1" applyBorder="1"/>
    <xf numFmtId="0" fontId="10" fillId="0" borderId="6" xfId="0" applyFont="1" applyBorder="1"/>
    <xf numFmtId="164" fontId="10" fillId="0" borderId="8" xfId="0" applyNumberFormat="1" applyFont="1" applyBorder="1"/>
    <xf numFmtId="0" fontId="12" fillId="0" borderId="0" xfId="0" applyFont="1"/>
    <xf numFmtId="0" fontId="13" fillId="0" borderId="0" xfId="0" applyFont="1"/>
    <xf numFmtId="167" fontId="14" fillId="0" borderId="0" xfId="0" applyNumberFormat="1" applyFont="1" applyFill="1" applyBorder="1" applyAlignment="1">
      <alignment horizontal="left" vertical="center"/>
    </xf>
    <xf numFmtId="167" fontId="15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2" fillId="0" borderId="0" xfId="0" applyFont="1" applyAlignment="1">
      <alignment horizontal="left"/>
    </xf>
    <xf numFmtId="166" fontId="0" fillId="0" borderId="0" xfId="0" applyNumberFormat="1"/>
    <xf numFmtId="167" fontId="4" fillId="0" borderId="0" xfId="1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67" fontId="5" fillId="3" borderId="0" xfId="1" applyNumberFormat="1" applyFont="1" applyFill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67" fontId="4" fillId="3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killen/Local%20Settings/Temporary%20Internet%20Files/OLK45/Date%20Lin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abSelected="1" workbookViewId="0">
      <selection activeCell="B10" sqref="B9:B10"/>
    </sheetView>
  </sheetViews>
  <sheetFormatPr defaultRowHeight="12.75" x14ac:dyDescent="0.2"/>
  <cols>
    <col min="1" max="1" width="2" customWidth="1"/>
    <col min="2" max="2" width="28.28515625" customWidth="1"/>
    <col min="3" max="3" width="22.28515625" hidden="1" customWidth="1"/>
    <col min="4" max="4" width="2.5703125" customWidth="1"/>
    <col min="5" max="5" width="10.28515625" bestFit="1" customWidth="1"/>
    <col min="6" max="6" width="1.28515625" customWidth="1"/>
    <col min="7" max="7" width="10.28515625" bestFit="1" customWidth="1"/>
    <col min="8" max="8" width="2.5703125" customWidth="1"/>
    <col min="9" max="9" width="10.7109375" bestFit="1" customWidth="1"/>
    <col min="10" max="10" width="1.28515625" customWidth="1"/>
    <col min="11" max="11" width="10.7109375" bestFit="1" customWidth="1"/>
    <col min="12" max="12" width="2.5703125" customWidth="1"/>
    <col min="13" max="13" width="10.42578125" bestFit="1" customWidth="1"/>
    <col min="14" max="14" width="1.28515625" customWidth="1"/>
    <col min="15" max="15" width="10.42578125" bestFit="1" customWidth="1"/>
    <col min="16" max="16" width="2.5703125" customWidth="1"/>
    <col min="17" max="17" width="10.28515625" bestFit="1" customWidth="1"/>
    <col min="18" max="18" width="1.28515625" customWidth="1"/>
    <col min="19" max="19" width="10.28515625" bestFit="1" customWidth="1"/>
    <col min="20" max="20" width="2" customWidth="1"/>
    <col min="21" max="21" width="10.7109375" customWidth="1"/>
    <col min="22" max="22" width="1.28515625" customWidth="1"/>
    <col min="23" max="23" width="11.7109375" customWidth="1"/>
    <col min="24" max="24" width="1" customWidth="1"/>
    <col min="25" max="26" width="9.140625" style="22"/>
  </cols>
  <sheetData>
    <row r="1" spans="1:26" ht="20.25" customHeight="1" x14ac:dyDescent="0.2">
      <c r="A1" s="83" t="s">
        <v>24</v>
      </c>
      <c r="B1" s="83"/>
      <c r="C1" s="83"/>
      <c r="D1" s="83"/>
      <c r="E1" s="83"/>
      <c r="F1" s="75"/>
      <c r="G1" s="75"/>
      <c r="U1" s="79" t="str">
        <f>[1]Dates!$Q$1</f>
        <v>Second Quarter 2001</v>
      </c>
      <c r="V1" s="79"/>
      <c r="W1" s="79"/>
      <c r="X1" s="79"/>
      <c r="Y1" s="34"/>
      <c r="Z1" s="34"/>
    </row>
    <row r="2" spans="1:26" ht="17.25" customHeight="1" x14ac:dyDescent="0.2">
      <c r="B2" s="40" t="s">
        <v>41</v>
      </c>
    </row>
    <row r="3" spans="1:26" ht="17.25" customHeight="1" x14ac:dyDescent="0.2"/>
    <row r="4" spans="1:26" ht="13.5" thickBot="1" x14ac:dyDescent="0.25"/>
    <row r="5" spans="1:26" s="38" customFormat="1" ht="23.25" customHeight="1" x14ac:dyDescent="0.2">
      <c r="E5" s="80" t="s">
        <v>13</v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2"/>
      <c r="Y5" s="39"/>
      <c r="Z5" s="39"/>
    </row>
    <row r="6" spans="1:26" s="38" customFormat="1" ht="15.75" customHeight="1" thickBot="1" x14ac:dyDescent="0.25">
      <c r="E6" s="76" t="s">
        <v>14</v>
      </c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8"/>
      <c r="Y6" s="39"/>
      <c r="Z6" s="39"/>
    </row>
    <row r="7" spans="1:26" ht="9.75" customHeight="1" x14ac:dyDescent="0.2"/>
    <row r="8" spans="1:26" s="36" customFormat="1" ht="18.75" customHeight="1" x14ac:dyDescent="0.2">
      <c r="E8" s="42" t="s">
        <v>26</v>
      </c>
      <c r="F8" s="43"/>
      <c r="G8" s="44" t="s">
        <v>27</v>
      </c>
      <c r="H8" s="45"/>
      <c r="I8" s="42" t="s">
        <v>26</v>
      </c>
      <c r="J8" s="43"/>
      <c r="K8" s="44" t="s">
        <v>34</v>
      </c>
      <c r="L8" s="45"/>
      <c r="M8" s="42" t="s">
        <v>26</v>
      </c>
      <c r="N8" s="43"/>
      <c r="O8" s="44" t="s">
        <v>34</v>
      </c>
      <c r="P8" s="45"/>
      <c r="Q8" s="42" t="s">
        <v>26</v>
      </c>
      <c r="R8" s="43"/>
      <c r="S8" s="44" t="s">
        <v>34</v>
      </c>
      <c r="T8" s="45"/>
      <c r="U8" s="42" t="s">
        <v>26</v>
      </c>
      <c r="V8" s="43"/>
      <c r="W8" s="44" t="s">
        <v>27</v>
      </c>
      <c r="Y8" s="37"/>
      <c r="Z8" s="37"/>
    </row>
    <row r="9" spans="1:26" s="36" customFormat="1" ht="15" customHeight="1" x14ac:dyDescent="0.2">
      <c r="E9" s="46" t="s">
        <v>6</v>
      </c>
      <c r="F9" s="47"/>
      <c r="G9" s="48" t="s">
        <v>6</v>
      </c>
      <c r="H9" s="45"/>
      <c r="I9" s="46" t="s">
        <v>7</v>
      </c>
      <c r="J9" s="47"/>
      <c r="K9" s="48" t="s">
        <v>7</v>
      </c>
      <c r="L9" s="45"/>
      <c r="M9" s="46" t="s">
        <v>8</v>
      </c>
      <c r="N9" s="47"/>
      <c r="O9" s="48" t="s">
        <v>8</v>
      </c>
      <c r="P9" s="45"/>
      <c r="Q9" s="46" t="s">
        <v>9</v>
      </c>
      <c r="R9" s="47"/>
      <c r="S9" s="48" t="s">
        <v>9</v>
      </c>
      <c r="T9" s="45"/>
      <c r="U9" s="46" t="s">
        <v>28</v>
      </c>
      <c r="V9" s="47"/>
      <c r="W9" s="48" t="s">
        <v>10</v>
      </c>
      <c r="Y9" s="37"/>
      <c r="Z9" s="37"/>
    </row>
    <row r="10" spans="1:26" s="36" customFormat="1" ht="15" customHeight="1" x14ac:dyDescent="0.2">
      <c r="E10" s="46">
        <v>2001</v>
      </c>
      <c r="F10" s="47"/>
      <c r="G10" s="48">
        <v>2001</v>
      </c>
      <c r="H10" s="45"/>
      <c r="I10" s="46">
        <v>2001</v>
      </c>
      <c r="J10" s="47"/>
      <c r="K10" s="48">
        <v>2001</v>
      </c>
      <c r="L10" s="45"/>
      <c r="M10" s="46">
        <v>2001</v>
      </c>
      <c r="N10" s="47"/>
      <c r="O10" s="48">
        <v>2001</v>
      </c>
      <c r="P10" s="45"/>
      <c r="Q10" s="46">
        <v>2001</v>
      </c>
      <c r="R10" s="47"/>
      <c r="S10" s="48">
        <v>2001</v>
      </c>
      <c r="T10" s="45"/>
      <c r="U10" s="46">
        <v>2001</v>
      </c>
      <c r="V10" s="47"/>
      <c r="W10" s="48">
        <v>2001</v>
      </c>
      <c r="Y10" s="37"/>
      <c r="Z10" s="37"/>
    </row>
    <row r="11" spans="1:26" s="36" customFormat="1" ht="15" customHeight="1" x14ac:dyDescent="0.2">
      <c r="E11" s="46"/>
      <c r="F11" s="47"/>
      <c r="G11" s="48"/>
      <c r="H11" s="45"/>
      <c r="I11" s="46"/>
      <c r="J11" s="47"/>
      <c r="K11" s="48"/>
      <c r="L11" s="45"/>
      <c r="M11" s="46"/>
      <c r="N11" s="47"/>
      <c r="O11" s="48"/>
      <c r="P11" s="45"/>
      <c r="Q11" s="46"/>
      <c r="R11" s="47"/>
      <c r="S11" s="48"/>
      <c r="T11" s="45"/>
      <c r="U11" s="46"/>
      <c r="V11" s="47"/>
      <c r="W11" s="48"/>
      <c r="Y11" s="37"/>
      <c r="Z11" s="37"/>
    </row>
    <row r="12" spans="1:26" ht="50.1" customHeight="1" x14ac:dyDescent="0.25">
      <c r="A12" s="63" t="s">
        <v>0</v>
      </c>
      <c r="B12" s="63"/>
      <c r="C12" s="63"/>
      <c r="D12" s="3"/>
      <c r="E12" s="49">
        <f>SUM(E13:E15)</f>
        <v>617.50000000000011</v>
      </c>
      <c r="F12" s="50"/>
      <c r="G12" s="51">
        <f>SUM(G13:G15)</f>
        <v>270.60000000000002</v>
      </c>
      <c r="H12" s="52"/>
      <c r="I12" s="49">
        <f>SUM(I13:I15)</f>
        <v>47.5</v>
      </c>
      <c r="J12" s="50"/>
      <c r="K12" s="51">
        <f>SUM(K13:K15)</f>
        <v>294.8</v>
      </c>
      <c r="L12" s="52"/>
      <c r="M12" s="49">
        <f>SUM(M13:M15)</f>
        <v>0</v>
      </c>
      <c r="N12" s="50"/>
      <c r="O12" s="51">
        <f>SUM(O13:O15)</f>
        <v>192.79999999999998</v>
      </c>
      <c r="P12" s="52"/>
      <c r="Q12" s="49">
        <f>SUM(Q13:Q15)</f>
        <v>0</v>
      </c>
      <c r="R12" s="50"/>
      <c r="S12" s="51">
        <f>SUM(S13:S15)</f>
        <v>222.2</v>
      </c>
      <c r="T12" s="52"/>
      <c r="U12" s="49">
        <f>SUM(U13:U15)</f>
        <v>665.00000000000011</v>
      </c>
      <c r="V12" s="50"/>
      <c r="W12" s="51">
        <f>SUM(W13:W15)</f>
        <v>980.40000000000009</v>
      </c>
    </row>
    <row r="13" spans="1:26" ht="20.100000000000001" hidden="1" customHeight="1" x14ac:dyDescent="0.25">
      <c r="A13" s="64"/>
      <c r="B13" s="65" t="s">
        <v>18</v>
      </c>
      <c r="C13" s="63"/>
      <c r="D13" s="3"/>
      <c r="E13" s="49">
        <v>856.7</v>
      </c>
      <c r="F13" s="50"/>
      <c r="G13" s="51">
        <f>262.1+5.1</f>
        <v>267.20000000000005</v>
      </c>
      <c r="H13" s="52"/>
      <c r="I13" s="49">
        <v>510.5</v>
      </c>
      <c r="J13" s="50"/>
      <c r="K13" s="51">
        <f>271.8+5.1+0.7</f>
        <v>277.60000000000002</v>
      </c>
      <c r="L13" s="52"/>
      <c r="M13" s="49">
        <v>0</v>
      </c>
      <c r="N13" s="50"/>
      <c r="O13" s="51">
        <f>179.5+5.1+0.7</f>
        <v>185.29999999999998</v>
      </c>
      <c r="P13" s="52"/>
      <c r="Q13" s="49">
        <v>0</v>
      </c>
      <c r="R13" s="50"/>
      <c r="S13" s="51">
        <f>188.4+5.1+0.7</f>
        <v>194.2</v>
      </c>
      <c r="T13" s="52"/>
      <c r="U13" s="49">
        <f>Q13+M13+I13+E13</f>
        <v>1367.2</v>
      </c>
      <c r="V13" s="50"/>
      <c r="W13" s="51">
        <f>S13+O13+K13+G13</f>
        <v>924.30000000000007</v>
      </c>
    </row>
    <row r="14" spans="1:26" ht="20.100000000000001" hidden="1" customHeight="1" x14ac:dyDescent="0.25">
      <c r="A14" s="64"/>
      <c r="B14" s="66" t="s">
        <v>19</v>
      </c>
      <c r="C14" s="63"/>
      <c r="D14" s="3"/>
      <c r="E14" s="53">
        <v>-8.8000000000000007</v>
      </c>
      <c r="F14" s="50"/>
      <c r="G14" s="54">
        <v>3.4</v>
      </c>
      <c r="H14" s="52"/>
      <c r="I14" s="53">
        <v>10.5</v>
      </c>
      <c r="J14" s="50"/>
      <c r="K14" s="54">
        <v>17.2</v>
      </c>
      <c r="L14" s="52"/>
      <c r="M14" s="53">
        <v>0</v>
      </c>
      <c r="N14" s="50"/>
      <c r="O14" s="54">
        <v>7.5</v>
      </c>
      <c r="P14" s="52"/>
      <c r="Q14" s="53">
        <v>0</v>
      </c>
      <c r="R14" s="50"/>
      <c r="S14" s="54">
        <v>28</v>
      </c>
      <c r="T14" s="52"/>
      <c r="U14" s="53">
        <f>Q14+M14+I14+E14</f>
        <v>1.6999999999999993</v>
      </c>
      <c r="V14" s="50"/>
      <c r="W14" s="54">
        <f>S14+O14+K14+G14</f>
        <v>56.1</v>
      </c>
    </row>
    <row r="15" spans="1:26" ht="20.100000000000001" hidden="1" customHeight="1" x14ac:dyDescent="0.25">
      <c r="A15" s="64"/>
      <c r="B15" s="66" t="s">
        <v>29</v>
      </c>
      <c r="C15" s="63"/>
      <c r="D15" s="3"/>
      <c r="E15" s="53">
        <v>-230.4</v>
      </c>
      <c r="F15" s="50"/>
      <c r="G15" s="54">
        <v>0</v>
      </c>
      <c r="H15" s="52"/>
      <c r="I15" s="53">
        <v>-473.5</v>
      </c>
      <c r="J15" s="50"/>
      <c r="K15" s="54"/>
      <c r="L15" s="52"/>
      <c r="M15" s="53">
        <v>0</v>
      </c>
      <c r="N15" s="50"/>
      <c r="O15" s="54">
        <v>0</v>
      </c>
      <c r="P15" s="52"/>
      <c r="Q15" s="53">
        <v>0</v>
      </c>
      <c r="R15" s="50"/>
      <c r="S15" s="54">
        <v>0</v>
      </c>
      <c r="T15" s="52"/>
      <c r="U15" s="53">
        <f>Q15+M15+I15+E15</f>
        <v>-703.9</v>
      </c>
      <c r="V15" s="50"/>
      <c r="W15" s="54">
        <f>S15+O15+K15+G15</f>
        <v>0</v>
      </c>
    </row>
    <row r="16" spans="1:26" ht="20.100000000000001" hidden="1" customHeight="1" x14ac:dyDescent="0.25">
      <c r="A16" s="64"/>
      <c r="B16" s="66"/>
      <c r="C16" s="63"/>
      <c r="D16" s="3"/>
      <c r="E16" s="53"/>
      <c r="F16" s="50"/>
      <c r="G16" s="54"/>
      <c r="H16" s="52"/>
      <c r="I16" s="53"/>
      <c r="J16" s="50"/>
      <c r="K16" s="54"/>
      <c r="L16" s="52"/>
      <c r="M16" s="53"/>
      <c r="N16" s="50"/>
      <c r="O16" s="54"/>
      <c r="P16" s="52"/>
      <c r="Q16" s="53"/>
      <c r="R16" s="50"/>
      <c r="S16" s="54"/>
      <c r="T16" s="52"/>
      <c r="U16" s="53"/>
      <c r="V16" s="50"/>
      <c r="W16" s="54"/>
    </row>
    <row r="17" spans="1:23" ht="50.1" customHeight="1" x14ac:dyDescent="0.25">
      <c r="A17" s="67" t="s">
        <v>1</v>
      </c>
      <c r="B17" s="66"/>
      <c r="C17" s="63"/>
      <c r="D17" s="3"/>
      <c r="E17" s="53">
        <v>87.1</v>
      </c>
      <c r="F17" s="50"/>
      <c r="G17" s="54">
        <f>SUM(G18:G19)</f>
        <v>82.4</v>
      </c>
      <c r="H17" s="52"/>
      <c r="I17" s="53">
        <v>-76.900000000000006</v>
      </c>
      <c r="J17" s="50"/>
      <c r="K17" s="54">
        <f>SUM(K18:K19)</f>
        <v>82.300000000000011</v>
      </c>
      <c r="L17" s="52"/>
      <c r="M17" s="53">
        <f>SUM(M18:M19)</f>
        <v>0</v>
      </c>
      <c r="N17" s="50"/>
      <c r="O17" s="54">
        <f>SUM(O18:O19)</f>
        <v>79.800000000000011</v>
      </c>
      <c r="P17" s="52"/>
      <c r="Q17" s="53">
        <f>SUM(Q18:Q19)</f>
        <v>0</v>
      </c>
      <c r="R17" s="50"/>
      <c r="S17" s="54">
        <f>SUM(S18:S19)</f>
        <v>110.7</v>
      </c>
      <c r="T17" s="52"/>
      <c r="U17" s="53">
        <f>SUM(U18:U19)</f>
        <v>10.199999999999996</v>
      </c>
      <c r="V17" s="50"/>
      <c r="W17" s="54">
        <f>SUM(W18:W19)</f>
        <v>355.20000000000005</v>
      </c>
    </row>
    <row r="18" spans="1:23" ht="50.1" hidden="1" customHeight="1" x14ac:dyDescent="0.25">
      <c r="B18" s="67"/>
      <c r="C18" s="63"/>
      <c r="D18" s="3"/>
      <c r="E18" s="55">
        <v>87.1</v>
      </c>
      <c r="F18" s="50"/>
      <c r="G18" s="56">
        <f>80.5+1.9</f>
        <v>82.4</v>
      </c>
      <c r="H18" s="52"/>
      <c r="I18" s="55">
        <v>-39.1</v>
      </c>
      <c r="J18" s="50"/>
      <c r="K18" s="56">
        <f>80.4+1.9</f>
        <v>82.300000000000011</v>
      </c>
      <c r="L18" s="57"/>
      <c r="M18" s="55">
        <v>0</v>
      </c>
      <c r="N18" s="50"/>
      <c r="O18" s="56">
        <f>77.9+1.9</f>
        <v>79.800000000000011</v>
      </c>
      <c r="P18" s="57"/>
      <c r="Q18" s="55">
        <v>0</v>
      </c>
      <c r="R18" s="50"/>
      <c r="S18" s="56">
        <f>108.8+1.9</f>
        <v>110.7</v>
      </c>
      <c r="T18" s="52"/>
      <c r="U18" s="55">
        <f t="shared" ref="U18:U26" si="0">E18+I18+M18+Q18</f>
        <v>47.999999999999993</v>
      </c>
      <c r="V18" s="50"/>
      <c r="W18" s="56">
        <f t="shared" ref="W18:W26" si="1">S18+O18+K18+G18</f>
        <v>355.20000000000005</v>
      </c>
    </row>
    <row r="19" spans="1:23" ht="20.100000000000001" hidden="1" customHeight="1" x14ac:dyDescent="0.25">
      <c r="A19" s="67"/>
      <c r="B19" s="67" t="s">
        <v>31</v>
      </c>
      <c r="C19" s="63"/>
      <c r="D19" s="3"/>
      <c r="E19" s="55">
        <v>0</v>
      </c>
      <c r="F19" s="50"/>
      <c r="G19" s="56">
        <v>0</v>
      </c>
      <c r="H19" s="52"/>
      <c r="I19" s="55">
        <v>-37.799999999999997</v>
      </c>
      <c r="J19" s="50"/>
      <c r="K19" s="56">
        <v>0</v>
      </c>
      <c r="L19" s="57"/>
      <c r="M19" s="55">
        <v>0</v>
      </c>
      <c r="N19" s="50"/>
      <c r="O19" s="56">
        <v>0</v>
      </c>
      <c r="P19" s="57"/>
      <c r="Q19" s="55">
        <v>0</v>
      </c>
      <c r="R19" s="50"/>
      <c r="S19" s="56">
        <v>0</v>
      </c>
      <c r="T19" s="52"/>
      <c r="U19" s="55">
        <f t="shared" si="0"/>
        <v>-37.799999999999997</v>
      </c>
      <c r="V19" s="50"/>
      <c r="W19" s="56">
        <f t="shared" si="1"/>
        <v>0</v>
      </c>
    </row>
    <row r="20" spans="1:23" ht="20.100000000000001" hidden="1" customHeight="1" x14ac:dyDescent="0.25">
      <c r="A20" s="67"/>
      <c r="B20" s="67" t="s">
        <v>32</v>
      </c>
      <c r="C20" s="63"/>
      <c r="D20" s="3"/>
      <c r="E20" s="55">
        <v>0</v>
      </c>
      <c r="F20" s="50"/>
      <c r="G20" s="56">
        <v>0</v>
      </c>
      <c r="H20" s="52"/>
      <c r="I20" s="55">
        <v>15.7</v>
      </c>
      <c r="J20" s="50"/>
      <c r="K20" s="56">
        <v>0</v>
      </c>
      <c r="L20" s="57"/>
      <c r="M20" s="55"/>
      <c r="N20" s="50"/>
      <c r="O20" s="56">
        <v>0</v>
      </c>
      <c r="P20" s="57"/>
      <c r="Q20" s="55"/>
      <c r="R20" s="50"/>
      <c r="S20" s="56">
        <v>0</v>
      </c>
      <c r="T20" s="52"/>
      <c r="U20" s="55"/>
      <c r="V20" s="50"/>
      <c r="W20" s="56"/>
    </row>
    <row r="21" spans="1:23" ht="50.1" customHeight="1" x14ac:dyDescent="0.25">
      <c r="A21" s="68" t="s">
        <v>2</v>
      </c>
      <c r="B21" s="68"/>
      <c r="C21" s="63"/>
      <c r="D21" s="3"/>
      <c r="E21" s="55">
        <v>46.3</v>
      </c>
      <c r="F21" s="50"/>
      <c r="G21" s="56">
        <f>45+1.1</f>
        <v>46.1</v>
      </c>
      <c r="H21" s="52"/>
      <c r="I21" s="55">
        <v>-110.4</v>
      </c>
      <c r="J21" s="50"/>
      <c r="K21" s="56">
        <f>52.6+1.1+0.9</f>
        <v>54.6</v>
      </c>
      <c r="L21" s="57"/>
      <c r="M21" s="55">
        <v>0</v>
      </c>
      <c r="N21" s="50"/>
      <c r="O21" s="56">
        <f>68.1+1.1-1.3</f>
        <v>67.899999999999991</v>
      </c>
      <c r="P21" s="57"/>
      <c r="Q21" s="55">
        <v>0</v>
      </c>
      <c r="R21" s="50"/>
      <c r="S21" s="56">
        <f>104.3+1.1-5.4</f>
        <v>99.999999999999986</v>
      </c>
      <c r="T21" s="52"/>
      <c r="U21" s="55">
        <f t="shared" si="0"/>
        <v>-64.100000000000009</v>
      </c>
      <c r="V21" s="50"/>
      <c r="W21" s="56">
        <f t="shared" si="1"/>
        <v>268.59999999999997</v>
      </c>
    </row>
    <row r="22" spans="1:23" ht="50.1" customHeight="1" x14ac:dyDescent="0.25">
      <c r="A22" s="69" t="s">
        <v>3</v>
      </c>
      <c r="B22" s="69"/>
      <c r="C22" s="63"/>
      <c r="D22" s="3"/>
      <c r="E22" s="55">
        <v>8.8000000000000007</v>
      </c>
      <c r="F22" s="50"/>
      <c r="G22" s="56">
        <f>8.5+0.5</f>
        <v>9</v>
      </c>
      <c r="H22" s="52"/>
      <c r="I22" s="55">
        <v>11.8</v>
      </c>
      <c r="J22" s="50"/>
      <c r="K22" s="56">
        <f>10.2+0.5</f>
        <v>10.7</v>
      </c>
      <c r="L22" s="57"/>
      <c r="M22" s="55">
        <v>0</v>
      </c>
      <c r="N22" s="50"/>
      <c r="O22" s="56">
        <f>21.6+0.5</f>
        <v>22.1</v>
      </c>
      <c r="P22" s="57"/>
      <c r="Q22" s="55">
        <v>0</v>
      </c>
      <c r="R22" s="50"/>
      <c r="S22" s="56">
        <f>22.6+0.5</f>
        <v>23.1</v>
      </c>
      <c r="T22" s="52"/>
      <c r="U22" s="55">
        <f t="shared" si="0"/>
        <v>20.6</v>
      </c>
      <c r="V22" s="50"/>
      <c r="W22" s="56">
        <f t="shared" si="1"/>
        <v>64.900000000000006</v>
      </c>
    </row>
    <row r="23" spans="1:23" ht="50.1" customHeight="1" x14ac:dyDescent="0.25">
      <c r="A23" s="70" t="s">
        <v>4</v>
      </c>
      <c r="B23" s="70"/>
      <c r="C23" s="63"/>
      <c r="D23" s="3"/>
      <c r="E23" s="55">
        <v>-3.6</v>
      </c>
      <c r="F23" s="50"/>
      <c r="G23" s="56">
        <f>-4.4+0.8</f>
        <v>-3.6000000000000005</v>
      </c>
      <c r="H23" s="52"/>
      <c r="I23" s="55">
        <v>-5.8</v>
      </c>
      <c r="J23" s="50"/>
      <c r="K23" s="56">
        <f>-4.6+0.8</f>
        <v>-3.8</v>
      </c>
      <c r="L23" s="57"/>
      <c r="M23" s="55">
        <v>0</v>
      </c>
      <c r="N23" s="50"/>
      <c r="O23" s="56">
        <f>55.6+0.8</f>
        <v>56.4</v>
      </c>
      <c r="P23" s="57"/>
      <c r="Q23" s="55">
        <v>0</v>
      </c>
      <c r="R23" s="50"/>
      <c r="S23" s="56">
        <f>57.2+0.8</f>
        <v>58</v>
      </c>
      <c r="T23" s="52"/>
      <c r="U23" s="55">
        <f t="shared" si="0"/>
        <v>-9.4</v>
      </c>
      <c r="V23" s="50"/>
      <c r="W23" s="56">
        <f t="shared" si="1"/>
        <v>107.00000000000001</v>
      </c>
    </row>
    <row r="24" spans="1:23" ht="50.1" customHeight="1" x14ac:dyDescent="0.25">
      <c r="A24" s="71" t="s">
        <v>5</v>
      </c>
      <c r="B24" s="71"/>
      <c r="C24" s="63"/>
      <c r="D24" s="3"/>
      <c r="E24" s="55">
        <v>47.9</v>
      </c>
      <c r="F24" s="50"/>
      <c r="G24" s="56">
        <f>88.1+3</f>
        <v>91.1</v>
      </c>
      <c r="H24" s="52"/>
      <c r="I24" s="55">
        <v>12.5</v>
      </c>
      <c r="J24" s="50"/>
      <c r="K24" s="56">
        <f>82.6+3</f>
        <v>85.6</v>
      </c>
      <c r="L24" s="57"/>
      <c r="M24" s="55">
        <v>0</v>
      </c>
      <c r="N24" s="50"/>
      <c r="O24" s="56">
        <f>46.3+3</f>
        <v>49.3</v>
      </c>
      <c r="P24" s="57"/>
      <c r="Q24" s="55">
        <v>0</v>
      </c>
      <c r="R24" s="50"/>
      <c r="S24" s="56">
        <f>59.9+3</f>
        <v>62.9</v>
      </c>
      <c r="T24" s="52"/>
      <c r="U24" s="55">
        <f t="shared" si="0"/>
        <v>60.4</v>
      </c>
      <c r="V24" s="50"/>
      <c r="W24" s="56">
        <f t="shared" si="1"/>
        <v>288.89999999999998</v>
      </c>
    </row>
    <row r="25" spans="1:23" ht="50.1" customHeight="1" x14ac:dyDescent="0.25">
      <c r="A25" s="72" t="s">
        <v>25</v>
      </c>
      <c r="B25" s="72"/>
      <c r="C25" s="63"/>
      <c r="D25" s="3"/>
      <c r="E25" s="55">
        <v>8.1</v>
      </c>
      <c r="F25" s="50"/>
      <c r="G25" s="56">
        <f>8.9+1.2</f>
        <v>10.1</v>
      </c>
      <c r="H25" s="52"/>
      <c r="I25" s="55">
        <v>0.5</v>
      </c>
      <c r="J25" s="50"/>
      <c r="K25" s="56">
        <f>13.3+1.2</f>
        <v>14.5</v>
      </c>
      <c r="L25" s="57"/>
      <c r="M25" s="55">
        <v>0</v>
      </c>
      <c r="N25" s="50"/>
      <c r="O25" s="56">
        <f>12.3+1.2</f>
        <v>13.5</v>
      </c>
      <c r="P25" s="57"/>
      <c r="Q25" s="55">
        <v>0</v>
      </c>
      <c r="R25" s="50"/>
      <c r="S25" s="56">
        <f>30.5+1.2</f>
        <v>31.7</v>
      </c>
      <c r="T25" s="52"/>
      <c r="U25" s="55">
        <f t="shared" si="0"/>
        <v>8.6</v>
      </c>
      <c r="V25" s="50"/>
      <c r="W25" s="56">
        <f t="shared" si="1"/>
        <v>69.8</v>
      </c>
    </row>
    <row r="26" spans="1:23" ht="50.1" customHeight="1" x14ac:dyDescent="0.35">
      <c r="A26" s="63" t="s">
        <v>16</v>
      </c>
      <c r="B26" s="63"/>
      <c r="C26" s="63"/>
      <c r="D26" s="3"/>
      <c r="E26" s="58">
        <f>-18.3+-13</f>
        <v>-31.3</v>
      </c>
      <c r="F26" s="50"/>
      <c r="G26" s="59">
        <v>-0.8</v>
      </c>
      <c r="H26" s="52"/>
      <c r="I26" s="58">
        <v>-25.1</v>
      </c>
      <c r="J26" s="50"/>
      <c r="K26" s="59">
        <f>-0.8+-0.9+-0.7</f>
        <v>-2.4000000000000004</v>
      </c>
      <c r="L26" s="57"/>
      <c r="M26" s="58">
        <v>0</v>
      </c>
      <c r="N26" s="50"/>
      <c r="O26" s="59">
        <f>-0.8+-0.7+1.3</f>
        <v>-0.19999999999999996</v>
      </c>
      <c r="P26" s="57"/>
      <c r="Q26" s="58">
        <v>0</v>
      </c>
      <c r="R26" s="50"/>
      <c r="S26" s="59">
        <f>-0.7+-0.7+5.4</f>
        <v>4</v>
      </c>
      <c r="T26" s="52"/>
      <c r="U26" s="58">
        <f t="shared" si="0"/>
        <v>-56.400000000000006</v>
      </c>
      <c r="V26" s="50"/>
      <c r="W26" s="59">
        <f t="shared" si="1"/>
        <v>0.59999999999999942</v>
      </c>
    </row>
    <row r="27" spans="1:23" ht="6.75" customHeight="1" x14ac:dyDescent="0.2">
      <c r="A27" s="64"/>
      <c r="B27" s="64"/>
      <c r="C27" s="64"/>
      <c r="E27" s="55"/>
      <c r="F27" s="50"/>
      <c r="G27" s="56"/>
      <c r="H27" s="52"/>
      <c r="I27" s="55"/>
      <c r="J27" s="50"/>
      <c r="K27" s="56"/>
      <c r="L27" s="52"/>
      <c r="M27" s="55"/>
      <c r="N27" s="50"/>
      <c r="O27" s="56"/>
      <c r="P27" s="52"/>
      <c r="Q27" s="55"/>
      <c r="R27" s="50"/>
      <c r="S27" s="56"/>
      <c r="T27" s="52"/>
      <c r="U27" s="55"/>
      <c r="V27" s="50"/>
      <c r="W27" s="56"/>
    </row>
    <row r="28" spans="1:23" ht="21" customHeight="1" x14ac:dyDescent="0.25">
      <c r="A28" s="64"/>
      <c r="B28" s="64"/>
      <c r="C28" s="73" t="s">
        <v>15</v>
      </c>
      <c r="D28" s="35"/>
      <c r="E28" s="60">
        <f>E26+E25+E24+E23+E22+E21+E17+E12</f>
        <v>780.80000000000007</v>
      </c>
      <c r="F28" s="61"/>
      <c r="G28" s="62">
        <f>G26+G25+G24+G23+G22+G21+G17+G12</f>
        <v>504.90000000000003</v>
      </c>
      <c r="H28" s="52"/>
      <c r="I28" s="60">
        <f>I26+I25+I24+I23+I22+I21+I17+I12</f>
        <v>-145.9</v>
      </c>
      <c r="J28" s="61"/>
      <c r="K28" s="62">
        <f>K26+K25+K24+K23+K22+K21+K17+K12</f>
        <v>536.29999999999995</v>
      </c>
      <c r="L28" s="52"/>
      <c r="M28" s="60">
        <f>M26+M25+M24+M23+M22+M21+M17+M12</f>
        <v>0</v>
      </c>
      <c r="N28" s="61"/>
      <c r="O28" s="62">
        <f>O26+O25+O24+O23+O22+O21+O17+O12</f>
        <v>481.6</v>
      </c>
      <c r="P28" s="52"/>
      <c r="Q28" s="60">
        <f>Q26+Q25+Q24+Q23+Q22+Q21+Q17+Q12</f>
        <v>0</v>
      </c>
      <c r="R28" s="61"/>
      <c r="S28" s="62">
        <f>S26+S25+S24+S23+S22+S21+S17+S12</f>
        <v>612.59999999999991</v>
      </c>
      <c r="T28" s="52"/>
      <c r="U28" s="60">
        <f>U26+U25+U24+U23+U22+U21+U17+U12</f>
        <v>634.90000000000009</v>
      </c>
      <c r="V28" s="61"/>
      <c r="W28" s="62">
        <f>W26+W25+W24+W23+W22+W21+W17+W12</f>
        <v>2135.4</v>
      </c>
    </row>
    <row r="29" spans="1:23" ht="24.75" customHeight="1" x14ac:dyDescent="0.2"/>
    <row r="30" spans="1:23" x14ac:dyDescent="0.2">
      <c r="B30" t="s">
        <v>33</v>
      </c>
    </row>
    <row r="31" spans="1:23" x14ac:dyDescent="0.2">
      <c r="B31" t="s">
        <v>30</v>
      </c>
    </row>
    <row r="32" spans="1:23" hidden="1" x14ac:dyDescent="0.2">
      <c r="A32" s="28" t="s">
        <v>0</v>
      </c>
      <c r="B32" s="28"/>
      <c r="C32" s="28"/>
      <c r="D32" s="2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3" hidden="1" x14ac:dyDescent="0.2">
      <c r="A33" s="29" t="s">
        <v>18</v>
      </c>
      <c r="B33" s="29"/>
      <c r="C33" s="29"/>
      <c r="D33" s="29"/>
      <c r="E33" s="30">
        <v>262.10000000000002</v>
      </c>
      <c r="F33" s="6"/>
      <c r="G33" s="6"/>
      <c r="H33" s="6"/>
      <c r="I33" s="31">
        <v>271.8</v>
      </c>
      <c r="J33" s="6"/>
      <c r="K33" s="6"/>
      <c r="L33" s="6"/>
      <c r="M33" s="31">
        <v>179.5</v>
      </c>
      <c r="N33" s="6"/>
      <c r="O33" s="6"/>
      <c r="P33" s="6"/>
      <c r="Q33" s="31">
        <v>188.4</v>
      </c>
      <c r="R33" s="6"/>
      <c r="S33" s="31">
        <v>901.8</v>
      </c>
      <c r="T33" s="6"/>
      <c r="U33" s="31">
        <f>SUM(E33:S33)</f>
        <v>1803.6</v>
      </c>
      <c r="V33" s="6"/>
      <c r="W33" s="26"/>
    </row>
    <row r="34" spans="1:23" hidden="1" x14ac:dyDescent="0.2">
      <c r="A34" s="29" t="s">
        <v>19</v>
      </c>
      <c r="B34" s="29"/>
      <c r="C34" s="29"/>
      <c r="D34" s="29"/>
      <c r="E34" s="32">
        <v>3.4</v>
      </c>
      <c r="F34" s="13"/>
      <c r="G34" s="13"/>
      <c r="H34" s="13"/>
      <c r="I34" s="13">
        <v>17.2</v>
      </c>
      <c r="J34" s="13"/>
      <c r="K34" s="13"/>
      <c r="L34" s="13"/>
      <c r="M34" s="13">
        <v>7.5</v>
      </c>
      <c r="N34" s="13"/>
      <c r="O34" s="13"/>
      <c r="P34" s="13"/>
      <c r="Q34" s="13">
        <v>28</v>
      </c>
      <c r="R34" s="13"/>
      <c r="S34" s="27">
        <v>56.1</v>
      </c>
      <c r="T34" s="13"/>
      <c r="U34" s="27">
        <f>SUM(E34:S34)</f>
        <v>112.19999999999999</v>
      </c>
      <c r="V34" s="13"/>
      <c r="W34" s="33"/>
    </row>
    <row r="35" spans="1:23" hidden="1" x14ac:dyDescent="0.2"/>
    <row r="36" spans="1:23" hidden="1" x14ac:dyDescent="0.2"/>
    <row r="37" spans="1:23" x14ac:dyDescent="0.2">
      <c r="B37" t="s">
        <v>35</v>
      </c>
    </row>
    <row r="38" spans="1:23" x14ac:dyDescent="0.2">
      <c r="B38" s="41">
        <f ca="1">NOW()</f>
        <v>37053.686569791666</v>
      </c>
      <c r="C38" s="21"/>
      <c r="D38" s="21"/>
    </row>
  </sheetData>
  <mergeCells count="4">
    <mergeCell ref="E6:W6"/>
    <mergeCell ref="U1:X1"/>
    <mergeCell ref="E5:W5"/>
    <mergeCell ref="A1:E1"/>
  </mergeCells>
  <phoneticPr fontId="0" type="noConversion"/>
  <pageMargins left="0.5" right="0.5" top="0.5" bottom="0.5" header="0.5" footer="0.25"/>
  <pageSetup scale="80" orientation="landscape" r:id="rId1"/>
  <headerFooter alignWithMargins="0">
    <oddFooter>&amp;C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opLeftCell="A18" workbookViewId="0">
      <selection activeCell="P45" sqref="P45"/>
    </sheetView>
  </sheetViews>
  <sheetFormatPr defaultRowHeight="12.75" x14ac:dyDescent="0.2"/>
  <cols>
    <col min="1" max="1" width="17.28515625" bestFit="1" customWidth="1"/>
    <col min="2" max="2" width="10.28515625" bestFit="1" customWidth="1"/>
    <col min="3" max="3" width="2.7109375" customWidth="1"/>
    <col min="4" max="4" width="10.28515625" bestFit="1" customWidth="1"/>
    <col min="5" max="5" width="2.7109375" customWidth="1"/>
    <col min="6" max="6" width="10.7109375" bestFit="1" customWidth="1"/>
    <col min="7" max="7" width="2.7109375" customWidth="1"/>
    <col min="8" max="8" width="10.7109375" bestFit="1" customWidth="1"/>
    <col min="9" max="9" width="2.7109375" customWidth="1"/>
    <col min="10" max="10" width="10.28515625" bestFit="1" customWidth="1"/>
    <col min="11" max="11" width="2.7109375" customWidth="1"/>
    <col min="12" max="12" width="10.28515625" bestFit="1" customWidth="1"/>
    <col min="13" max="13" width="2.7109375" customWidth="1"/>
    <col min="14" max="14" width="10.28515625" bestFit="1" customWidth="1"/>
    <col min="15" max="15" width="2.7109375" customWidth="1"/>
    <col min="16" max="16" width="10.28515625" bestFit="1" customWidth="1"/>
    <col min="17" max="17" width="2.7109375" customWidth="1"/>
    <col min="18" max="18" width="9.28515625" bestFit="1" customWidth="1"/>
    <col min="19" max="19" width="2.7109375" customWidth="1"/>
    <col min="20" max="20" width="9.28515625" bestFit="1" customWidth="1"/>
  </cols>
  <sheetData>
    <row r="1" spans="1:20" x14ac:dyDescent="0.2">
      <c r="A1" s="2" t="s">
        <v>11</v>
      </c>
      <c r="B1" s="20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2" t="s">
        <v>12</v>
      </c>
      <c r="B2" s="2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">
      <c r="A3" s="2" t="s">
        <v>13</v>
      </c>
      <c r="B3" s="20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2" t="s">
        <v>14</v>
      </c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9" spans="1:20" x14ac:dyDescent="0.2">
      <c r="B9" s="5" t="s">
        <v>6</v>
      </c>
      <c r="C9" s="6"/>
      <c r="D9" s="7" t="s">
        <v>6</v>
      </c>
      <c r="F9" s="5" t="s">
        <v>7</v>
      </c>
      <c r="G9" s="6"/>
      <c r="H9" s="7" t="s">
        <v>7</v>
      </c>
      <c r="J9" s="5" t="s">
        <v>8</v>
      </c>
      <c r="K9" s="6"/>
      <c r="L9" s="7" t="s">
        <v>8</v>
      </c>
      <c r="N9" s="5" t="s">
        <v>9</v>
      </c>
      <c r="O9" s="6"/>
      <c r="P9" s="7" t="s">
        <v>9</v>
      </c>
      <c r="R9" s="5" t="s">
        <v>10</v>
      </c>
      <c r="S9" s="6"/>
      <c r="T9" s="7" t="s">
        <v>10</v>
      </c>
    </row>
    <row r="10" spans="1:20" x14ac:dyDescent="0.2">
      <c r="B10" s="14">
        <v>2001</v>
      </c>
      <c r="C10" s="9"/>
      <c r="D10" s="15">
        <v>2000</v>
      </c>
      <c r="F10" s="14">
        <v>2001</v>
      </c>
      <c r="G10" s="9"/>
      <c r="H10" s="15">
        <v>2000</v>
      </c>
      <c r="J10" s="14">
        <v>2001</v>
      </c>
      <c r="K10" s="9"/>
      <c r="L10" s="15">
        <v>2000</v>
      </c>
      <c r="N10" s="14">
        <v>2001</v>
      </c>
      <c r="O10" s="9"/>
      <c r="P10" s="15">
        <v>2000</v>
      </c>
      <c r="R10" s="14">
        <v>2001</v>
      </c>
      <c r="S10" s="9"/>
      <c r="T10" s="15">
        <v>2000</v>
      </c>
    </row>
    <row r="11" spans="1:20" x14ac:dyDescent="0.2">
      <c r="B11" s="5"/>
      <c r="C11" s="6"/>
      <c r="D11" s="7"/>
      <c r="F11" s="5"/>
      <c r="G11" s="6"/>
      <c r="H11" s="7"/>
      <c r="J11" s="5"/>
      <c r="K11" s="6"/>
      <c r="L11" s="7"/>
      <c r="N11" s="5"/>
      <c r="O11" s="6"/>
      <c r="P11" s="7"/>
      <c r="R11" s="5"/>
      <c r="S11" s="6"/>
      <c r="T11" s="7"/>
    </row>
    <row r="12" spans="1:20" x14ac:dyDescent="0.2">
      <c r="A12" s="3" t="s">
        <v>0</v>
      </c>
      <c r="B12" s="8">
        <v>265.5</v>
      </c>
      <c r="C12" s="9"/>
      <c r="D12" s="10">
        <f>137.5</f>
        <v>137.5</v>
      </c>
      <c r="F12" s="8">
        <f>288.5+0.5</f>
        <v>289</v>
      </c>
      <c r="G12" s="9"/>
      <c r="H12" s="10">
        <f>331.2</f>
        <v>331.2</v>
      </c>
      <c r="J12" s="8">
        <f>186.5+0.5</f>
        <v>187</v>
      </c>
      <c r="K12" s="9"/>
      <c r="L12" s="10">
        <f>346.9</f>
        <v>346.9</v>
      </c>
      <c r="N12" s="8">
        <f>216+0.4</f>
        <v>216.4</v>
      </c>
      <c r="O12" s="9"/>
      <c r="P12" s="10">
        <f>510.1</f>
        <v>510.1</v>
      </c>
      <c r="R12" s="8">
        <f>N12+J12+F12+B12</f>
        <v>957.9</v>
      </c>
      <c r="S12" s="9"/>
      <c r="T12" s="10">
        <f t="shared" ref="T12:T20" si="0">P12+L12+H12+D12</f>
        <v>1325.7</v>
      </c>
    </row>
    <row r="13" spans="1:20" x14ac:dyDescent="0.2">
      <c r="A13" s="4" t="s">
        <v>22</v>
      </c>
      <c r="B13" s="8">
        <v>262.10000000000002</v>
      </c>
      <c r="C13" s="9"/>
      <c r="D13" s="10"/>
      <c r="F13" s="8">
        <v>271.8</v>
      </c>
      <c r="G13" s="9"/>
      <c r="H13" s="10"/>
      <c r="J13" s="8">
        <v>179.5</v>
      </c>
      <c r="K13" s="9"/>
      <c r="L13" s="10"/>
      <c r="N13" s="8">
        <v>188.4</v>
      </c>
      <c r="O13" s="9"/>
      <c r="P13" s="10"/>
      <c r="R13" s="8">
        <f>N13+J13+F13+B13</f>
        <v>901.80000000000007</v>
      </c>
      <c r="S13" s="9"/>
      <c r="T13" s="10"/>
    </row>
    <row r="14" spans="1:20" x14ac:dyDescent="0.2">
      <c r="A14" s="4" t="s">
        <v>23</v>
      </c>
      <c r="B14" s="8">
        <v>3.4</v>
      </c>
      <c r="C14" s="9"/>
      <c r="D14" s="10"/>
      <c r="F14" s="8">
        <v>17.2</v>
      </c>
      <c r="G14" s="9"/>
      <c r="H14" s="10"/>
      <c r="J14" s="8">
        <v>7.5</v>
      </c>
      <c r="K14" s="9"/>
      <c r="L14" s="10"/>
      <c r="N14" s="8">
        <v>28</v>
      </c>
      <c r="O14" s="9"/>
      <c r="P14" s="10"/>
      <c r="R14" s="8">
        <f>N14+J14+F14+B14</f>
        <v>56.1</v>
      </c>
      <c r="S14" s="9"/>
      <c r="T14" s="10"/>
    </row>
    <row r="15" spans="1:20" x14ac:dyDescent="0.2">
      <c r="A15" s="3" t="s">
        <v>1</v>
      </c>
      <c r="B15" s="11">
        <v>80.5</v>
      </c>
      <c r="C15" s="9"/>
      <c r="D15" s="12">
        <v>67.7</v>
      </c>
      <c r="F15" s="11">
        <v>80.400000000000006</v>
      </c>
      <c r="G15" s="9"/>
      <c r="H15" s="12">
        <v>64.5</v>
      </c>
      <c r="I15" s="1"/>
      <c r="J15" s="11">
        <v>77.900000000000006</v>
      </c>
      <c r="K15" s="9"/>
      <c r="L15" s="12">
        <v>51.5</v>
      </c>
      <c r="M15" s="1"/>
      <c r="N15" s="11">
        <v>108.8</v>
      </c>
      <c r="O15" s="9"/>
      <c r="P15" s="12">
        <v>75</v>
      </c>
      <c r="R15" s="11">
        <f t="shared" ref="R15:R20" si="1">B15+F15+J15+N15</f>
        <v>347.6</v>
      </c>
      <c r="S15" s="9"/>
      <c r="T15" s="12">
        <f t="shared" si="0"/>
        <v>258.7</v>
      </c>
    </row>
    <row r="16" spans="1:20" x14ac:dyDescent="0.2">
      <c r="A16" s="3" t="s">
        <v>2</v>
      </c>
      <c r="B16" s="11">
        <v>45</v>
      </c>
      <c r="C16" s="9"/>
      <c r="D16" s="12">
        <v>50</v>
      </c>
      <c r="F16" s="11">
        <v>52.6</v>
      </c>
      <c r="G16" s="9"/>
      <c r="H16" s="12">
        <v>-3.5</v>
      </c>
      <c r="I16" s="1"/>
      <c r="J16" s="11">
        <v>68.099999999999994</v>
      </c>
      <c r="K16" s="9"/>
      <c r="L16" s="12">
        <v>-11.6</v>
      </c>
      <c r="M16" s="1"/>
      <c r="N16" s="11">
        <v>104.3</v>
      </c>
      <c r="O16" s="9"/>
      <c r="P16" s="12">
        <v>32.4</v>
      </c>
      <c r="R16" s="11">
        <f t="shared" si="1"/>
        <v>270</v>
      </c>
      <c r="S16" s="9"/>
      <c r="T16" s="12">
        <f t="shared" si="0"/>
        <v>67.3</v>
      </c>
    </row>
    <row r="17" spans="1:20" x14ac:dyDescent="0.2">
      <c r="A17" s="3" t="s">
        <v>3</v>
      </c>
      <c r="B17" s="11">
        <v>8.5</v>
      </c>
      <c r="C17" s="9"/>
      <c r="D17" s="12">
        <v>0</v>
      </c>
      <c r="F17" s="11">
        <v>10.3</v>
      </c>
      <c r="G17" s="9"/>
      <c r="H17" s="12">
        <v>0</v>
      </c>
      <c r="I17" s="1"/>
      <c r="J17" s="11">
        <v>21.6</v>
      </c>
      <c r="K17" s="9"/>
      <c r="L17" s="12">
        <v>0</v>
      </c>
      <c r="M17" s="1"/>
      <c r="N17" s="11">
        <v>22.6</v>
      </c>
      <c r="O17" s="9"/>
      <c r="P17" s="12">
        <v>48.3</v>
      </c>
      <c r="R17" s="11">
        <f t="shared" si="1"/>
        <v>63.000000000000007</v>
      </c>
      <c r="S17" s="9"/>
      <c r="T17" s="12">
        <f t="shared" si="0"/>
        <v>48.3</v>
      </c>
    </row>
    <row r="18" spans="1:20" x14ac:dyDescent="0.2">
      <c r="A18" s="3" t="s">
        <v>4</v>
      </c>
      <c r="B18" s="11">
        <f>-4.7+0.3</f>
        <v>-4.4000000000000004</v>
      </c>
      <c r="C18" s="9"/>
      <c r="D18" s="12">
        <f>-14.2</f>
        <v>-14.2</v>
      </c>
      <c r="F18" s="11">
        <f>-4.9+0.3</f>
        <v>-4.6000000000000005</v>
      </c>
      <c r="G18" s="9"/>
      <c r="H18" s="12">
        <f>-7.8</f>
        <v>-7.8</v>
      </c>
      <c r="I18" s="1"/>
      <c r="J18" s="11">
        <f>55.3+0.3</f>
        <v>55.599999999999994</v>
      </c>
      <c r="K18" s="9"/>
      <c r="L18" s="12">
        <f>7</f>
        <v>7</v>
      </c>
      <c r="M18" s="1"/>
      <c r="N18" s="11">
        <f>56.9+0.3</f>
        <v>57.199999999999996</v>
      </c>
      <c r="O18" s="9"/>
      <c r="P18" s="12">
        <f>24.2</f>
        <v>24.2</v>
      </c>
      <c r="R18" s="11">
        <f t="shared" si="1"/>
        <v>103.79999999999998</v>
      </c>
      <c r="S18" s="9"/>
      <c r="T18" s="12">
        <f t="shared" si="0"/>
        <v>9.1999999999999993</v>
      </c>
    </row>
    <row r="19" spans="1:20" x14ac:dyDescent="0.2">
      <c r="A19" s="3" t="s">
        <v>5</v>
      </c>
      <c r="B19" s="11">
        <v>88.1</v>
      </c>
      <c r="C19" s="9"/>
      <c r="D19" s="12">
        <v>67.5</v>
      </c>
      <c r="F19" s="11">
        <f>82.6</f>
        <v>82.6</v>
      </c>
      <c r="G19" s="9"/>
      <c r="H19" s="12">
        <v>54.3</v>
      </c>
      <c r="I19" s="1"/>
      <c r="J19" s="11">
        <v>46.3</v>
      </c>
      <c r="K19" s="9"/>
      <c r="L19" s="12">
        <v>35.6</v>
      </c>
      <c r="M19" s="1"/>
      <c r="N19" s="11">
        <v>59.9</v>
      </c>
      <c r="O19" s="9"/>
      <c r="P19" s="12">
        <v>20.3</v>
      </c>
      <c r="R19" s="11">
        <f t="shared" si="1"/>
        <v>276.89999999999998</v>
      </c>
      <c r="S19" s="9"/>
      <c r="T19" s="12">
        <f t="shared" si="0"/>
        <v>177.7</v>
      </c>
    </row>
    <row r="20" spans="1:20" ht="15" x14ac:dyDescent="0.35">
      <c r="A20" s="3" t="s">
        <v>16</v>
      </c>
      <c r="B20" s="18">
        <f>-0.5+-0.3</f>
        <v>-0.8</v>
      </c>
      <c r="C20" s="9"/>
      <c r="D20" s="19">
        <v>0</v>
      </c>
      <c r="F20" s="18">
        <f>-0.5+-0.3</f>
        <v>-0.8</v>
      </c>
      <c r="G20" s="9"/>
      <c r="H20" s="19">
        <v>0</v>
      </c>
      <c r="I20" s="1"/>
      <c r="J20" s="18">
        <f>-0.5+-0.3</f>
        <v>-0.8</v>
      </c>
      <c r="K20" s="9"/>
      <c r="L20" s="19">
        <v>0</v>
      </c>
      <c r="M20" s="1"/>
      <c r="N20" s="18">
        <f>-0.4+-0.3</f>
        <v>-0.7</v>
      </c>
      <c r="O20" s="9"/>
      <c r="P20" s="19">
        <v>0</v>
      </c>
      <c r="R20" s="18">
        <f t="shared" si="1"/>
        <v>-3.1000000000000005</v>
      </c>
      <c r="S20" s="9"/>
      <c r="T20" s="19">
        <f t="shared" si="0"/>
        <v>0</v>
      </c>
    </row>
    <row r="21" spans="1:20" x14ac:dyDescent="0.2">
      <c r="B21" s="11"/>
      <c r="C21" s="9"/>
      <c r="D21" s="12"/>
      <c r="F21" s="11"/>
      <c r="G21" s="9"/>
      <c r="H21" s="12"/>
      <c r="J21" s="11"/>
      <c r="K21" s="9"/>
      <c r="L21" s="12"/>
      <c r="N21" s="11"/>
      <c r="O21" s="9"/>
      <c r="P21" s="12"/>
      <c r="R21" s="11"/>
      <c r="S21" s="9"/>
      <c r="T21" s="12"/>
    </row>
    <row r="22" spans="1:20" x14ac:dyDescent="0.2">
      <c r="A22" s="4" t="s">
        <v>15</v>
      </c>
      <c r="B22" s="16">
        <f>B12+B15+B16+B17+B18+B19+B20</f>
        <v>482.40000000000003</v>
      </c>
      <c r="C22" s="13"/>
      <c r="D22" s="17">
        <f>SUM(D12:D20)</f>
        <v>308.5</v>
      </c>
      <c r="F22" s="16">
        <f>F12+F15+F16+F17+F18+F19+F20</f>
        <v>509.49999999999994</v>
      </c>
      <c r="G22" s="13"/>
      <c r="H22" s="17">
        <f>SUM(H12:H20)</f>
        <v>438.7</v>
      </c>
      <c r="J22" s="16">
        <f>J12+J15+J16+J17+J18+J19+J20</f>
        <v>455.70000000000005</v>
      </c>
      <c r="K22" s="13"/>
      <c r="L22" s="17">
        <f>SUM(L12:L20)</f>
        <v>429.4</v>
      </c>
      <c r="N22" s="16">
        <f>N12+N15+N16+N17+N18+N19+N20</f>
        <v>568.5</v>
      </c>
      <c r="O22" s="13"/>
      <c r="P22" s="17">
        <f>SUM(P12:P20)</f>
        <v>710.3</v>
      </c>
      <c r="R22" s="16">
        <f>R12+R15+R16+R17+R18+R19+R20</f>
        <v>2016.1</v>
      </c>
      <c r="S22" s="13"/>
      <c r="T22" s="17">
        <f>SUM(T12:T20)</f>
        <v>1886.9</v>
      </c>
    </row>
    <row r="24" spans="1:20" x14ac:dyDescent="0.2">
      <c r="A24" t="s">
        <v>17</v>
      </c>
    </row>
    <row r="27" spans="1:20" x14ac:dyDescent="0.2">
      <c r="A27" s="21">
        <f ca="1">NOW()</f>
        <v>37053.686569791666</v>
      </c>
    </row>
    <row r="29" spans="1:20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</row>
    <row r="31" spans="1:20" x14ac:dyDescent="0.2">
      <c r="A31" t="s">
        <v>18</v>
      </c>
      <c r="B31" s="23">
        <f>B12-B32</f>
        <v>262.10000000000002</v>
      </c>
      <c r="F31" s="23">
        <f>F12-F32</f>
        <v>271.8</v>
      </c>
      <c r="J31" s="23">
        <f>J12-J32</f>
        <v>179.5</v>
      </c>
      <c r="N31" s="23">
        <f>N12-N32</f>
        <v>188.4</v>
      </c>
      <c r="P31" s="23">
        <f>SUM(B31:N31)</f>
        <v>901.80000000000007</v>
      </c>
    </row>
    <row r="32" spans="1:20" x14ac:dyDescent="0.2">
      <c r="A32" t="s">
        <v>19</v>
      </c>
      <c r="B32">
        <v>3.4</v>
      </c>
      <c r="F32">
        <v>17.2</v>
      </c>
      <c r="J32">
        <v>7.5</v>
      </c>
      <c r="N32">
        <v>28</v>
      </c>
      <c r="P32" s="23">
        <f>SUM(B32:N32)</f>
        <v>56.099999999999994</v>
      </c>
    </row>
    <row r="34" spans="1:16" x14ac:dyDescent="0.2">
      <c r="A34" t="s">
        <v>20</v>
      </c>
      <c r="P34">
        <v>901.8</v>
      </c>
    </row>
    <row r="35" spans="1:16" x14ac:dyDescent="0.2">
      <c r="A35" t="s">
        <v>21</v>
      </c>
      <c r="P35" s="25">
        <v>900.04200000000003</v>
      </c>
    </row>
    <row r="36" spans="1:16" x14ac:dyDescent="0.2">
      <c r="A36" t="s">
        <v>37</v>
      </c>
      <c r="P36" s="24">
        <f>P34-P35</f>
        <v>1.7579999999999245</v>
      </c>
    </row>
    <row r="39" spans="1:16" x14ac:dyDescent="0.2">
      <c r="A39" t="s">
        <v>36</v>
      </c>
      <c r="P39">
        <v>901.8</v>
      </c>
    </row>
    <row r="40" spans="1:16" x14ac:dyDescent="0.2">
      <c r="A40" t="s">
        <v>39</v>
      </c>
      <c r="P40" s="13">
        <v>2.1</v>
      </c>
    </row>
    <row r="41" spans="1:16" x14ac:dyDescent="0.2">
      <c r="A41" t="s">
        <v>20</v>
      </c>
      <c r="P41">
        <f>SUM(P39:P40)</f>
        <v>903.9</v>
      </c>
    </row>
    <row r="42" spans="1:16" x14ac:dyDescent="0.2">
      <c r="A42" t="s">
        <v>19</v>
      </c>
      <c r="P42" s="13">
        <v>56.1</v>
      </c>
    </row>
    <row r="43" spans="1:16" x14ac:dyDescent="0.2">
      <c r="P43" s="74">
        <f>SUM(P41:P42)</f>
        <v>960</v>
      </c>
    </row>
    <row r="44" spans="1:16" x14ac:dyDescent="0.2">
      <c r="A44" t="s">
        <v>38</v>
      </c>
      <c r="P44" s="13">
        <f>5.1*4</f>
        <v>20.399999999999999</v>
      </c>
    </row>
    <row r="45" spans="1:16" x14ac:dyDescent="0.2">
      <c r="P45" s="74">
        <f>SUM(P43:P44)</f>
        <v>980.4</v>
      </c>
    </row>
    <row r="46" spans="1:16" x14ac:dyDescent="0.2">
      <c r="P46" s="13">
        <v>906.8</v>
      </c>
    </row>
    <row r="47" spans="1:16" x14ac:dyDescent="0.2">
      <c r="P47" s="74">
        <f>P45-P46</f>
        <v>73.600000000000023</v>
      </c>
    </row>
    <row r="48" spans="1:16" x14ac:dyDescent="0.2">
      <c r="P48" s="13">
        <v>56.1</v>
      </c>
    </row>
    <row r="49" spans="1:16" x14ac:dyDescent="0.2">
      <c r="A49" t="s">
        <v>40</v>
      </c>
      <c r="P49" s="74">
        <f>P47-P48</f>
        <v>17.500000000000021</v>
      </c>
    </row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NAmerica.SAmerica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Jan Havlíček</cp:lastModifiedBy>
  <cp:lastPrinted>2001-06-11T21:27:54Z</cp:lastPrinted>
  <dcterms:created xsi:type="dcterms:W3CDTF">2001-02-02T15:42:19Z</dcterms:created>
  <dcterms:modified xsi:type="dcterms:W3CDTF">2023-09-10T13:25:18Z</dcterms:modified>
</cp:coreProperties>
</file>