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1FFF3DA-1F15-4DEF-9494-9C93F9591845}"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Deals!$D$99</definedName>
    <definedName name="CISOEndDate">Deals!$D$100</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8">Top!$E$5</definedName>
    <definedName name="EndofDPoint">Deals!$C$98</definedName>
    <definedName name="EndofDType">Deals!$B$98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Deals!$A$1:$AF$110</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AD43" i="6"/>
  <c r="AE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4" i="6"/>
  <c r="AE94" i="6"/>
  <c r="AF94" i="6"/>
  <c r="AD96" i="6"/>
  <c r="AE96" i="6"/>
  <c r="AF96" i="6"/>
  <c r="F102" i="6"/>
  <c r="F103" i="6"/>
  <c r="G103" i="6"/>
  <c r="F104" i="6"/>
  <c r="G104" i="6"/>
  <c r="AD104" i="6"/>
  <c r="AE104" i="6"/>
  <c r="F105" i="6"/>
  <c r="G105" i="6"/>
  <c r="AD105" i="6"/>
  <c r="AE105" i="6"/>
  <c r="F106" i="6"/>
  <c r="G106" i="6"/>
  <c r="F107" i="6"/>
  <c r="G107" i="6"/>
  <c r="F108" i="6"/>
  <c r="G108" i="6"/>
  <c r="F109" i="6"/>
  <c r="G109" i="6"/>
  <c r="AD109" i="6"/>
  <c r="AE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G127" i="6"/>
  <c r="F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G15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s_mcrouch</author>
    <author>A satisfied Microsoft Office user</author>
  </authors>
  <commentList>
    <comment ref="M58" authorId="0" shapeId="0">
      <text>
        <r>
          <rPr>
            <b/>
            <sz val="8"/>
            <color indexed="81"/>
            <rFont val="Tahoma"/>
          </rPr>
          <t xml:space="preserve">smerris
15 OF SPIN
</t>
        </r>
      </text>
    </comment>
    <comment ref="N58" authorId="0" shapeId="0">
      <text>
        <r>
          <rPr>
            <b/>
            <sz val="8"/>
            <color indexed="81"/>
            <rFont val="Tahoma"/>
          </rPr>
          <t>smerris:</t>
        </r>
        <r>
          <rPr>
            <sz val="8"/>
            <color indexed="81"/>
            <rFont val="Tahoma"/>
          </rPr>
          <t xml:space="preserve">
15 MW OF SPIN
</t>
        </r>
      </text>
    </comment>
    <comment ref="O58" authorId="0" shapeId="0">
      <text>
        <r>
          <rPr>
            <b/>
            <sz val="8"/>
            <color indexed="81"/>
            <rFont val="Tahoma"/>
          </rPr>
          <t>smerris:</t>
        </r>
        <r>
          <rPr>
            <sz val="8"/>
            <color indexed="81"/>
            <rFont val="Tahoma"/>
          </rPr>
          <t xml:space="preserve">
15 MW OF SPIN
</t>
        </r>
      </text>
    </comment>
    <comment ref="P58" authorId="0" shapeId="0">
      <text>
        <r>
          <rPr>
            <b/>
            <sz val="8"/>
            <color indexed="81"/>
            <rFont val="Tahoma"/>
          </rPr>
          <t>smerris:</t>
        </r>
        <r>
          <rPr>
            <sz val="8"/>
            <color indexed="81"/>
            <rFont val="Tahoma"/>
          </rPr>
          <t xml:space="preserve">
15 MW OF SPIN
</t>
        </r>
      </text>
    </comment>
    <comment ref="Q58" authorId="0" shapeId="0">
      <text>
        <r>
          <rPr>
            <b/>
            <sz val="8"/>
            <color indexed="81"/>
            <rFont val="Tahoma"/>
          </rPr>
          <t xml:space="preserve">smerris
15 MW OF SPIN
</t>
        </r>
      </text>
    </comment>
    <comment ref="R58" authorId="0" shapeId="0">
      <text>
        <r>
          <rPr>
            <b/>
            <sz val="8"/>
            <color indexed="81"/>
            <rFont val="Tahoma"/>
          </rPr>
          <t xml:space="preserve">smerr
15 MW OF SPIN
</t>
        </r>
      </text>
    </comment>
    <comment ref="S58" authorId="0" shapeId="0">
      <text>
        <r>
          <rPr>
            <b/>
            <sz val="8"/>
            <color indexed="81"/>
            <rFont val="Tahoma"/>
          </rPr>
          <t>smerris:</t>
        </r>
        <r>
          <rPr>
            <sz val="8"/>
            <color indexed="81"/>
            <rFont val="Tahoma"/>
          </rPr>
          <t xml:space="preserve">
15 MW OF SPIN
</t>
        </r>
      </text>
    </comment>
    <comment ref="T58" authorId="1" shapeId="0">
      <text>
        <r>
          <rPr>
            <sz val="8"/>
            <color indexed="81"/>
            <rFont val="Tahoma"/>
          </rPr>
          <t xml:space="preserve">BUYING 15 MGW SPIN
LINDER
</t>
        </r>
      </text>
    </comment>
    <comment ref="U58" authorId="1" shapeId="0">
      <text>
        <r>
          <rPr>
            <sz val="8"/>
            <color indexed="81"/>
            <rFont val="Tahoma"/>
          </rPr>
          <t xml:space="preserve">Buying 15 mgw  spin
Linder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8"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<sst xmlns="http://schemas.openxmlformats.org/spreadsheetml/2006/main" count="783" uniqueCount="388">
  <si>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</si>
  <si>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</si>
  <si>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</si>
  <si>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</si>
  <si>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</si>
  <si>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</si>
  <si>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</si>
  <si>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</si>
  <si>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</si>
  <si>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</si>
  <si>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</si>
  <si>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</si>
  <si>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</si>
  <si>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</si>
  <si>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</si>
  <si>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</si>
  <si>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</si>
  <si>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</si>
  <si>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</si>
  <si>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</si>
  <si>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</si>
  <si>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</si>
  <si>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</si>
  <si>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</si>
  <si>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</si>
  <si>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</si>
  <si>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</si>
  <si>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</si>
  <si>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</si>
  <si>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</si>
  <si>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</si>
  <si>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</si>
  <si>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</si>
  <si>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</si>
  <si>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</si>
  <si>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</si>
  <si>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</si>
  <si>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</si>
  <si>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</si>
  <si>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</si>
  <si>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</si>
  <si>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</si>
  <si>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</si>
  <si>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</si>
  <si>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</si>
  <si>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</si>
  <si>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</si>
  <si>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</si>
  <si>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</si>
  <si>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</si>
  <si>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</si>
  <si>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</si>
  <si>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</si>
  <si>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</si>
  <si>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</si>
  <si>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</si>
  <si>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</si>
  <si>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</si>
  <si>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</si>
  <si>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</si>
  <si>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</si>
  <si>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</si>
  <si>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</si>
  <si>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</si>
  <si>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</si>
  <si>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</si>
  <si>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</si>
  <si>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</si>
  <si>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</si>
  <si>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</si>
  <si>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</si>
  <si>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</si>
  <si>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</si>
  <si>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</si>
  <si>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</si>
  <si>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</si>
  <si>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</si>
  <si>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</si>
  <si>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</si>
  <si>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</si>
  <si>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</si>
  <si>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</si>
  <si>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</si>
  <si>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</si>
  <si>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</si>
  <si>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</si>
  <si>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</si>
  <si>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</si>
  <si>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</si>
  <si>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</si>
  <si>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</si>
  <si>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</si>
  <si>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</si>
  <si>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</si>
  <si>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</si>
  <si>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</si>
  <si>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</si>
  <si>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</si>
  <si>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</si>
  <si>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</si>
  <si>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</si>
  <si>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</si>
  <si>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</si>
  <si>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</si>
  <si>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</si>
  <si>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</si>
  <si>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</si>
  <si>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</si>
  <si>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</si>
  <si>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</si>
  <si>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</si>
  <si>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</si>
  <si>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</si>
  <si>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</si>
  <si>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</si>
  <si>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</si>
  <si>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</si>
  <si>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</si>
  <si>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</si>
  <si>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</si>
  <si>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</si>
  <si>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</si>
  <si>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</si>
  <si>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</si>
  <si>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</si>
  <si>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</si>
  <si>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</si>
  <si>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</si>
  <si>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</si>
  <si>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</si>
  <si>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</si>
  <si>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</si>
  <si>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</si>
  <si>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</si>
  <si>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</si>
  <si>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</si>
  <si>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</si>
  <si>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</si>
  <si>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</si>
  <si>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</si>
  <si>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</si>
  <si>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</si>
  <si>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</si>
  <si>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</si>
  <si>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</si>
  <si>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</si>
  <si>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</si>
  <si>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</si>
  <si>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</si>
  <si>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</si>
  <si>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</si>
  <si>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</si>
  <si>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</si>
  <si>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</si>
  <si>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</si>
  <si>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</si>
  <si>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</si>
  <si>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</si>
  <si>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</si>
  <si>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</si>
  <si>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</si>
  <si>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</si>
  <si>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</si>
  <si>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</si>
  <si>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</si>
  <si>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</si>
  <si>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</si>
  <si>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</si>
  <si>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</si>
  <si>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</si>
  <si>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</si>
  <si>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</si>
  <si>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</si>
  <si>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</si>
  <si>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</si>
  <si>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</si>
  <si>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</si>
  <si>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</si>
  <si>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</si>
  <si>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</si>
  <si>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</si>
  <si>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</si>
  <si>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</si>
  <si>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</si>
  <si>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</si>
  <si>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</si>
  <si>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</si>
  <si>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</si>
  <si>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</si>
  <si>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</si>
  <si>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</si>
  <si>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</si>
  <si>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</si>
  <si>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</si>
  <si>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</si>
  <si>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</si>
  <si>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</si>
  <si>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</si>
  <si>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</si>
  <si>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</si>
  <si>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</si>
  <si>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</si>
  <si>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</si>
  <si>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</si>
  <si>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</si>
  <si>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</si>
  <si>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</si>
  <si>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</si>
  <si>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</si>
  <si>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</si>
  <si>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</si>
  <si>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</si>
  <si>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</si>
  <si>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</si>
  <si>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</si>
  <si>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</si>
  <si>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</si>
  <si>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</si>
  <si>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</si>
  <si>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</si>
  <si>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</si>
  <si>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</si>
  <si>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</si>
  <si>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</si>
  <si>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</si>
  <si>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</si>
  <si>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</si>
  <si>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</si>
  <si>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</si>
  <si>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</si>
  <si>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</si>
  <si>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</si>
  <si>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</si>
  <si>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</si>
  <si>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</si>
  <si>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</si>
  <si>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</si>
  <si>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</si>
  <si>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</si>
  <si>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</si>
  <si>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</si>
  <si>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</si>
  <si>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</si>
  <si>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</si>
  <si>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</si>
  <si>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</si>
  <si>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</si>
  <si>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</si>
  <si>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</si>
  <si>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</si>
  <si>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</si>
  <si>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</si>
  <si>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</si>
  <si>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</si>
  <si>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</si>
  <si>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</si>
  <si>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</si>
  <si>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</si>
  <si>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</si>
  <si>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</si>
  <si>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</si>
  <si>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</si>
  <si>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</si>
  <si>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</si>
  <si>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</si>
  <si>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</si>
  <si>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</si>
  <si>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</si>
  <si>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</si>
  <si>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</si>
  <si>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</si>
  <si>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</si>
  <si>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</si>
  <si>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</si>
  <si>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</si>
  <si>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</si>
  <si>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</si>
  <si>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</si>
  <si>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</si>
  <si>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</si>
  <si>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</si>
  <si>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</si>
  <si>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</si>
  <si>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</si>
  <si>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</si>
  <si>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</si>
  <si>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</si>
  <si>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</si>
  <si>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</si>
  <si>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</si>
  <si>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</si>
  <si>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</si>
  <si>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</si>
  <si>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</si>
  <si>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</si>
  <si>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</si>
  <si>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</si>
  <si>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</si>
  <si>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</si>
  <si>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</si>
  <si>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</si>
  <si>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</si>
  <si>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</si>
  <si>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</si>
  <si>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</si>
  <si>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</si>
  <si>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</si>
  <si>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</si>
  <si>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</si>
  <si>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</si>
  <si>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</si>
  <si>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</si>
  <si>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</si>
  <si>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</si>
  <si>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</si>
  <si>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</si>
  <si>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</si>
  <si>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</si>
  <si>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</si>
  <si>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</si>
  <si>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</si>
  <si>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</si>
  <si>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</si>
  <si>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</si>
  <si>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</si>
  <si>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</si>
  <si>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</si>
  <si>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</si>
  <si>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</si>
  <si>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</si>
  <si>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</si>
  <si>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</si>
  <si>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</si>
  <si>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</si>
  <si>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</si>
  <si>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</si>
  <si>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</si>
  <si>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</si>
  <si>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</si>
  <si>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</si>
  <si>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</si>
  <si>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</si>
  <si>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</si>
  <si>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</si>
  <si>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</si>
  <si>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</si>
  <si>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</si>
  <si>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</si>
  <si>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</si>
  <si>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</si>
  <si>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</si>
  <si>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</si>
  <si>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</si>
  <si>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</si>
  <si>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</si>
  <si>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</si>
  <si>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</si>
  <si>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</si>
  <si>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</si>
  <si>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</si>
  <si>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</si>
  <si>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</si>
  <si>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</si>
  <si>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</si>
  <si>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</si>
  <si>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</si>
  <si>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</si>
  <si>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</si>
  <si>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</si>
  <si>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</si>
  <si>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CISO/APS</t>
  </si>
  <si>
    <t>CISO/SRP/MWD</t>
  </si>
  <si>
    <t>CISO/PAC</t>
  </si>
  <si>
    <t>Firm</t>
  </si>
  <si>
    <t>EPMI/APS</t>
  </si>
  <si>
    <t>RIOGRAN 8,MANL, 50  , 80  , 50  ,151  ,  0  ,1</t>
  </si>
  <si>
    <t>FOURCRNRS,MANL, 51  , 51  , 51  ,104  ,  0  ,1</t>
  </si>
  <si>
    <t>PALOVERDE,MANL,396  ,396  ,396  ,600  ,  0  ,1</t>
  </si>
  <si>
    <t>NEWMAN 1 ,MANL, 50  , 65  , 37  , 78  ,  0  ,1</t>
  </si>
  <si>
    <t>RIOGRAN 7,MANL, 28  , 32  , 30  , 49  ,  0  ,1</t>
  </si>
  <si>
    <t xml:space="preserve">RIOGRANDE,, 105 ,  152,  108, 248 ,   0 , </t>
  </si>
  <si>
    <t>RIOGRAN 6,MANL, 28  , 40  , 28  , 48  ,  0  ,1</t>
  </si>
  <si>
    <t>NEWMAN 2 ,MANL, 45  , 77  , 37  , 83  ,  0  ,1</t>
  </si>
  <si>
    <t>NEWMAN 3 ,ECON, 66  , 95  , 37  ,103  , 29  ,1</t>
  </si>
  <si>
    <t>NM/GT1+ST,ECON, 99  ,100  , 61  ,107  ,  0  ,1</t>
  </si>
  <si>
    <t xml:space="preserve">NEWMAN   ,, 260 ,  337,  172, 371 ,  29 , </t>
  </si>
  <si>
    <t>COPPER   ,AVAL, -0  , 69  , 15  , 69  ,  0  ,1</t>
  </si>
  <si>
    <t>LAMBDA, 41.99,  609,  619,  123,   -3,    0,20627,37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</si>
</sst>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207" fontId="72" fillId="7" borderId="43" xfId="0" applyNumberFormat="1" applyFont="1" applyFill="1" applyBorder="1" applyAlignment="1" applyProtection="1">
      <alignment horizontal="center" vertical="top"/>
    </xf>
    <xf numFmtId="207" fontId="72" fillId="12" borderId="40" xfId="0" applyNumberFormat="1" applyFont="1" applyFill="1" applyBorder="1" applyAlignment="1" applyProtection="1">
      <alignment horizontal="center" vertical="top"/>
    </xf>
    <xf numFmtId="207" fontId="72" fillId="4" borderId="40" xfId="0" applyNumberFormat="1" applyFont="1" applyFill="1" applyBorder="1" applyAlignment="1" applyProtection="1">
      <alignment horizontal="center" vertical="top"/>
    </xf>
    <xf numFmtId="207" fontId="72" fillId="12" borderId="43" xfId="0" applyNumberFormat="1" applyFont="1" applyFill="1" applyBorder="1" applyAlignment="1" applyProtection="1">
      <alignment horizontal="center" vertical="top"/>
    </xf>
    <xf numFmtId="207" fontId="72" fillId="12" borderId="46" xfId="0" applyNumberFormat="1" applyFont="1" applyFill="1" applyBorder="1" applyAlignment="1" applyProtection="1">
      <alignment horizontal="center" vertical="top"/>
    </xf>
    <xf numFmtId="207"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129DB92E-E50F-1DF4-A7C6-7B838624537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B14E5674-0D46-5490-DD67-F1C0E77C695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466B4725-F306-703C-5278-75539B66910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5C6B5AB8-5A7F-68AA-D0F0-D310634BE66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51D1AF4D-B70F-186F-2EED-E6B6A041809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98</xdr:row>
          <xdr:rowOff>171450</xdr:rowOff>
        </xdr:from>
        <xdr:to>
          <xdr:col>12</xdr:col>
          <xdr:colOff>95250</xdr:colOff>
          <xdr:row>99</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C683175B-A4D1-A75E-B92A-D4EAE5CFAA1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100</xdr:row>
      <xdr:rowOff>0</xdr:rowOff>
    </xdr:from>
    <xdr:to>
      <xdr:col>24</xdr:col>
      <xdr:colOff>247650</xdr:colOff>
      <xdr:row>123</xdr:row>
      <xdr:rowOff>76200</xdr:rowOff>
    </xdr:to>
    <xdr:sp macro="" textlink="">
      <xdr:nvSpPr>
        <xdr:cNvPr id="2303" name="Text Box 255">
          <a:extLst>
            <a:ext uri="{FF2B5EF4-FFF2-40B4-BE49-F238E27FC236}">
              <a16:creationId xmlns:a16="http://schemas.microsoft.com/office/drawing/2014/main" id="{490EDFFB-BADC-AD1D-872C-A069464ECA72}"/>
            </a:ext>
          </a:extLst>
        </xdr:cNvPr>
        <xdr:cNvSpPr txBox="1">
          <a:spLocks noChangeArrowheads="1"/>
        </xdr:cNvSpPr>
      </xdr:nvSpPr>
      <xdr:spPr bwMode="auto">
        <a:xfrm>
          <a:off x="4981575" y="85915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E00938EF-E1E9-F9FD-7970-9721B8F8F55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6" activePane="bottomLeft" state="frozen"/>
      <selection pane="bottomLeft" activeCell="S34" sqref="S3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7">
        <v>36984</v>
      </c>
      <c r="B1" s="607"/>
      <c r="C1" s="607"/>
      <c r="D1" s="607"/>
      <c r="E1" s="607"/>
      <c r="F1" s="607"/>
      <c r="G1" s="607"/>
      <c r="H1" s="607"/>
      <c r="I1" s="607"/>
      <c r="J1" s="607"/>
      <c r="K1" s="607"/>
      <c r="L1" s="607"/>
      <c r="M1" s="607"/>
      <c r="N1" s="607"/>
      <c r="O1" s="607"/>
      <c r="P1" s="607"/>
      <c r="Q1" s="607"/>
      <c r="R1" s="607"/>
      <c r="S1" s="607"/>
      <c r="T1" s="607"/>
      <c r="U1" s="607"/>
      <c r="V1" s="607"/>
      <c r="W1" s="607"/>
      <c r="X1" s="607"/>
      <c r="Y1" s="60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8"/>
      <c r="B2" s="506" t="s">
        <v>364</v>
      </c>
      <c r="C2" s="506" t="s">
        <v>364</v>
      </c>
      <c r="D2" s="506" t="s">
        <v>364</v>
      </c>
      <c r="E2" s="506" t="s">
        <v>364</v>
      </c>
      <c r="F2" s="506" t="s">
        <v>364</v>
      </c>
      <c r="G2" s="506" t="s">
        <v>364</v>
      </c>
      <c r="H2" s="506" t="s">
        <v>364</v>
      </c>
      <c r="I2" s="506" t="s">
        <v>364</v>
      </c>
      <c r="J2" s="506" t="s">
        <v>364</v>
      </c>
      <c r="K2" s="506" t="s">
        <v>364</v>
      </c>
      <c r="L2" s="506" t="s">
        <v>364</v>
      </c>
      <c r="M2" s="506" t="s">
        <v>364</v>
      </c>
      <c r="N2" s="506" t="s">
        <v>364</v>
      </c>
      <c r="O2" s="506" t="s">
        <v>364</v>
      </c>
      <c r="P2" s="506" t="s">
        <v>364</v>
      </c>
      <c r="Q2" s="506" t="s">
        <v>364</v>
      </c>
      <c r="R2" s="506" t="s">
        <v>364</v>
      </c>
      <c r="S2" s="506" t="s">
        <v>364</v>
      </c>
      <c r="T2" s="506" t="s">
        <v>364</v>
      </c>
      <c r="U2" s="506" t="s">
        <v>364</v>
      </c>
      <c r="V2" s="506" t="s">
        <v>364</v>
      </c>
      <c r="W2" s="506" t="s">
        <v>364</v>
      </c>
      <c r="X2" s="506" t="s">
        <v>364</v>
      </c>
      <c r="Y2" s="626" t="s">
        <v>364</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10" t="s">
        <v>306</v>
      </c>
      <c r="B4" s="529">
        <v>617</v>
      </c>
      <c r="C4" s="529">
        <v>585</v>
      </c>
      <c r="D4" s="529">
        <v>583</v>
      </c>
      <c r="E4" s="529">
        <v>573</v>
      </c>
      <c r="F4" s="529">
        <v>618</v>
      </c>
      <c r="G4" s="529">
        <v>710</v>
      </c>
      <c r="H4" s="529">
        <v>751</v>
      </c>
      <c r="I4" s="529">
        <v>780</v>
      </c>
      <c r="J4" s="529">
        <v>808</v>
      </c>
      <c r="K4" s="529">
        <v>842</v>
      </c>
      <c r="L4" s="529">
        <v>854</v>
      </c>
      <c r="M4" s="529">
        <v>849</v>
      </c>
      <c r="N4" s="529">
        <v>872</v>
      </c>
      <c r="O4" s="529">
        <v>852</v>
      </c>
      <c r="P4" s="529">
        <v>863</v>
      </c>
      <c r="Q4" s="529">
        <v>854</v>
      </c>
      <c r="R4" s="529">
        <v>831</v>
      </c>
      <c r="S4" s="529">
        <v>806</v>
      </c>
      <c r="T4" s="529">
        <v>841</v>
      </c>
      <c r="U4" s="529">
        <v>883</v>
      </c>
      <c r="V4" s="529">
        <v>808</v>
      </c>
      <c r="W4" s="529">
        <v>727</v>
      </c>
      <c r="X4" s="529">
        <v>641</v>
      </c>
      <c r="Y4" s="530">
        <v>619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1" t="s">
        <v>65</v>
      </c>
      <c r="B5" s="712">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8">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8"/>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-15</v>
      </c>
      <c r="N11" s="199">
        <f t="array" aca="1" ref="N11" ca="1">SUM(IF((DelPoint= "4C")*IF((DType = "firm")+(DType = "econ")&gt;0,1,0)*(OFFSET(DelPoint,0,N3+2)&lt;0),OFFSET(DelPoint,0,N3+2),0))</f>
        <v>-15</v>
      </c>
      <c r="O11" s="199">
        <f t="array" aca="1" ref="O11" ca="1">SUM(IF((DelPoint= "4C")*IF((DType = "firm")+(DType = "econ")&gt;0,1,0)*(OFFSET(DelPoint,0,O3+2)&lt;0),OFFSET(DelPoint,0,O3+2),0))</f>
        <v>-15</v>
      </c>
      <c r="P11" s="199">
        <f t="array" aca="1" ref="P11" ca="1">SUM(IF((DelPoint= "4C")*IF((DType = "firm")+(DType = "econ")&gt;0,1,0)*(OFFSET(DelPoint,0,P3+2)&lt;0),OFFSET(DelPoint,0,P3+2),0))</f>
        <v>-15</v>
      </c>
      <c r="Q11" s="199">
        <f t="array" aca="1" ref="Q11" ca="1">SUM(IF((DelPoint= "4C")*IF((DType = "firm")+(DType = "econ")&gt;0,1,0)*(OFFSET(DelPoint,0,Q3+2)&lt;0),OFFSET(DelPoint,0,Q3+2),0))</f>
        <v>-15</v>
      </c>
      <c r="R11" s="199">
        <f t="array" aca="1" ref="R11" ca="1">SUM(IF((DelPoint= "4C")*IF((DType = "firm")+(DType = "econ")&gt;0,1,0)*(OFFSET(DelPoint,0,R3+2)&lt;0),OFFSET(DelPoint,0,R3+2),0))</f>
        <v>-15</v>
      </c>
      <c r="S11" s="199">
        <f t="array" aca="1" ref="S11" ca="1">SUM(IF((DelPoint= "4C")*IF((DType = "firm")+(DType = "econ")&gt;0,1,0)*(OFFSET(DelPoint,0,S3+2)&lt;0),OFFSET(DelPoint,0,S3+2),0))</f>
        <v>-15</v>
      </c>
      <c r="T11" s="199">
        <f t="array" aca="1" ref="T11" ca="1">SUM(IF((DelPoint= "4C")*IF((DType = "firm")+(DType = "econ")&gt;0,1,0)*(OFFSET(DelPoint,0,T3+2)&lt;0),OFFSET(DelPoint,0,T3+2),0))</f>
        <v>-15</v>
      </c>
      <c r="U11" s="199">
        <f t="array" aca="1" ref="U11" ca="1">SUM(IF((DelPoint= "4C")*IF((DType = "firm")+(DType = "econ")&gt;0,1,0)*(OFFSET(DelPoint,0,U3+2)&lt;0),OFFSET(DelPoint,0,U3+2),0))</f>
        <v>-15</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9">
        <f t="array" aca="1" ref="Y11" ca="1">SUM(IF((DelPoint= "4C")*IF((DType = "firm")+(DType = "econ")&gt;0,1,0)*(OFFSET(DelPoint,0,Y3+2)&lt;0),OFFSET(DelPoint,0,Y3+2),0))</f>
        <v>0</v>
      </c>
      <c r="Z11" s="160"/>
      <c r="AA11" s="162"/>
    </row>
    <row r="12" spans="1:213" s="161" customFormat="1" ht="12" x14ac:dyDescent="0.2">
      <c r="A12" s="612"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50">
        <f t="array" aca="1" ref="Y12" ca="1">SUM(IF((DelPoint= "PV")*(DType = "pre")*(OFFSET(DelPoint,0,Y3+2)&lt;0),OFFSET(DelPoint,0,Y3+2),0))</f>
        <v>0</v>
      </c>
      <c r="Z12" s="160"/>
      <c r="AA12" s="162"/>
    </row>
    <row r="13" spans="1:213" s="161" customFormat="1" ht="12" x14ac:dyDescent="0.2">
      <c r="A13" s="613"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50"/>
      <c r="Z13" s="160"/>
      <c r="AA13" s="162"/>
    </row>
    <row r="14" spans="1:213" s="161" customFormat="1" ht="12" x14ac:dyDescent="0.2">
      <c r="A14" s="613" t="s">
        <v>305</v>
      </c>
      <c r="B14" s="552">
        <f>Deals!F11+Deals!F16+Deals!F15</f>
        <v>3</v>
      </c>
      <c r="C14" s="552">
        <f>Deals!G10+Deals!G16+Deals!G15</f>
        <v>3</v>
      </c>
      <c r="D14" s="552">
        <f>Deals!H10+Deals!H16+Deals!H15</f>
        <v>3</v>
      </c>
      <c r="E14" s="552">
        <f>Deals!I10+Deals!I16+Deals!I15</f>
        <v>3</v>
      </c>
      <c r="F14" s="552">
        <f>Deals!J10+Deals!J16+Deals!J15</f>
        <v>3</v>
      </c>
      <c r="G14" s="552">
        <f>Deals!K10+Deals!K16+Deals!K15</f>
        <v>3</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Deals!AA10+Deals!AA16+Deals!AA15</f>
        <v>0</v>
      </c>
      <c r="X14" s="552">
        <f>Deals!AB10+Deals!AB16+Deals!AB15</f>
        <v>3</v>
      </c>
      <c r="Y14" s="552">
        <f>Deals!AC10+Deals!AC16+Deals!AC15</f>
        <v>3</v>
      </c>
      <c r="Z14" s="160"/>
      <c r="AA14" s="162"/>
    </row>
    <row r="15" spans="1:213" s="161" customFormat="1" ht="12" x14ac:dyDescent="0.2">
      <c r="A15" s="614"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-1</v>
      </c>
      <c r="E15" s="202">
        <f t="array" aca="1" ref="E15" ca="1">SUM(IF((DelPoint= "PV")*IF((DType = "firm")+(DType = "econ")&gt;0,1,0)*(OFFSET(DelPoint,0,E3+2)&lt;0),OFFSET(DelPoint,0,E3+2),0))</f>
        <v>-2</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1">
        <f t="array" aca="1" ref="Y15" ca="1">SUM(IF((DelPoint= "PV")*IF((DType = "firm")+(DType = "econ")&gt;0,1,0)*(OFFSET(DelPoint,0,Y3+2)&lt;0),OFFSET(DelPoint,0,Y3+2),0))</f>
        <v>0</v>
      </c>
      <c r="Z15" s="160"/>
      <c r="AA15" s="162"/>
    </row>
    <row r="16" spans="1:213" s="161" customFormat="1" ht="12" x14ac:dyDescent="0.2">
      <c r="A16" s="615"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2">
        <f t="array" aca="1" ref="Y16" ca="1">SUM(IF((DelPoint= "hidalgo")*(DType = "pre")*(OFFSET(DelPoint,0,Y3+2)&lt;0),OFFSET(DelPoint,0,Y3+2),0))</f>
        <v>0</v>
      </c>
      <c r="Z16" s="160"/>
      <c r="AA16" s="162"/>
    </row>
    <row r="17" spans="1:27" s="161" customFormat="1" ht="12" x14ac:dyDescent="0.2">
      <c r="A17" s="616"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3">
        <f t="array" aca="1" ref="Y17" ca="1">SUM(IF((DelPoint= "hidalgo")*IF((DType = "firm")+(DType = "econ")&gt;0,1,0)*(OFFSET(DelPoint,0,Y3+2)&lt;0),OFFSET(DelPoint,0,Y3+2),0))</f>
        <v>0</v>
      </c>
      <c r="Z17" s="160"/>
      <c r="AA17" s="162"/>
    </row>
    <row r="18" spans="1:27" s="161" customFormat="1" ht="12" x14ac:dyDescent="0.2">
      <c r="A18" s="617" t="s">
        <v>277</v>
      </c>
      <c r="B18" s="713">
        <f>Deals!F7</f>
        <v>-103</v>
      </c>
      <c r="C18" s="713">
        <f>Deals!G7</f>
        <v>-103</v>
      </c>
      <c r="D18" s="713">
        <f>Deals!H7</f>
        <v>-103</v>
      </c>
      <c r="E18" s="713">
        <f>Deals!I7</f>
        <v>-103</v>
      </c>
      <c r="F18" s="713">
        <f>Deals!J7</f>
        <v>-103</v>
      </c>
      <c r="G18" s="713">
        <f>Deals!K7</f>
        <v>-103</v>
      </c>
      <c r="H18" s="713">
        <f>Deals!L7</f>
        <v>-103</v>
      </c>
      <c r="I18" s="713">
        <f>Deals!M7</f>
        <v>-103</v>
      </c>
      <c r="J18" s="713">
        <f>Deals!N7</f>
        <v>-103</v>
      </c>
      <c r="K18" s="713">
        <f>Deals!O7</f>
        <v>-103</v>
      </c>
      <c r="L18" s="713">
        <f>Deals!P7</f>
        <v>-103</v>
      </c>
      <c r="M18" s="713">
        <f>Deals!Q7</f>
        <v>-103</v>
      </c>
      <c r="N18" s="713">
        <f>Deals!R7</f>
        <v>-103</v>
      </c>
      <c r="O18" s="713">
        <f>Deals!S7</f>
        <v>-103</v>
      </c>
      <c r="P18" s="713">
        <f>Deals!T7</f>
        <v>-103</v>
      </c>
      <c r="Q18" s="713">
        <f>Deals!U7</f>
        <v>-103</v>
      </c>
      <c r="R18" s="713">
        <f>Deals!V7</f>
        <v>-103</v>
      </c>
      <c r="S18" s="713">
        <f>Deals!W7</f>
        <v>-103</v>
      </c>
      <c r="T18" s="713">
        <f>Deals!X7</f>
        <v>-103</v>
      </c>
      <c r="U18" s="713">
        <f>Deals!Y7</f>
        <v>-103</v>
      </c>
      <c r="V18" s="713">
        <f>Deals!Z7</f>
        <v>-103</v>
      </c>
      <c r="W18" s="713">
        <f>Deals!AA7</f>
        <v>-103</v>
      </c>
      <c r="X18" s="713">
        <f>Deals!AB7</f>
        <v>-103</v>
      </c>
      <c r="Y18" s="713">
        <f>Deals!AC7</f>
        <v>-103</v>
      </c>
      <c r="Z18" s="160"/>
      <c r="AA18" s="162"/>
    </row>
    <row r="19" spans="1:27" s="161" customFormat="1" ht="12" x14ac:dyDescent="0.2">
      <c r="A19" s="618"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9"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4"/>
      <c r="Z21" s="160"/>
      <c r="AA21" s="162"/>
    </row>
    <row r="22" spans="1:27" s="161" customFormat="1" ht="12" x14ac:dyDescent="0.2">
      <c r="A22" s="518" t="s">
        <v>121</v>
      </c>
      <c r="B22" s="714">
        <f>Deals!F3</f>
        <v>150</v>
      </c>
      <c r="C22" s="427">
        <f>Deals!G3</f>
        <v>120</v>
      </c>
      <c r="D22" s="427">
        <f>Deals!H3</f>
        <v>120</v>
      </c>
      <c r="E22" s="427">
        <f>Deals!I3</f>
        <v>120</v>
      </c>
      <c r="F22" s="427">
        <f>Deals!J3</f>
        <v>120</v>
      </c>
      <c r="G22" s="427">
        <f>Deals!K3</f>
        <v>120</v>
      </c>
      <c r="H22" s="427">
        <f>Deals!L3</f>
        <v>70</v>
      </c>
      <c r="I22" s="427">
        <f>Deals!M3</f>
        <v>70</v>
      </c>
      <c r="J22" s="427">
        <f>Deals!N3</f>
        <v>85</v>
      </c>
      <c r="K22" s="427">
        <f>Deals!O3</f>
        <v>95</v>
      </c>
      <c r="L22" s="427">
        <f>Deals!P3</f>
        <v>140</v>
      </c>
      <c r="M22" s="427">
        <f>Deals!Q3</f>
        <v>140</v>
      </c>
      <c r="N22" s="427">
        <f>Deals!R3</f>
        <v>140</v>
      </c>
      <c r="O22" s="427">
        <f>Deals!S3</f>
        <v>140</v>
      </c>
      <c r="P22" s="427">
        <f>Deals!T3</f>
        <v>140</v>
      </c>
      <c r="Q22" s="427">
        <f>Deals!U3</f>
        <v>140</v>
      </c>
      <c r="R22" s="427">
        <f>Deals!V3</f>
        <v>140</v>
      </c>
      <c r="S22" s="427">
        <f>Deals!W3</f>
        <v>140</v>
      </c>
      <c r="T22" s="427">
        <f>Deals!X3</f>
        <v>130</v>
      </c>
      <c r="U22" s="427">
        <f>Deals!Y3</f>
        <v>60</v>
      </c>
      <c r="V22" s="427">
        <f>Deals!Z3</f>
        <v>80</v>
      </c>
      <c r="W22" s="427">
        <f>Deals!AA3</f>
        <v>80</v>
      </c>
      <c r="X22" s="427">
        <f>Deals!AB3</f>
        <v>150</v>
      </c>
      <c r="Y22" s="519">
        <f>Deals!AC3</f>
        <v>100</v>
      </c>
      <c r="Z22" s="160"/>
      <c r="AA22" s="162"/>
    </row>
    <row r="23" spans="1:27" s="161" customFormat="1" ht="12" x14ac:dyDescent="0.2">
      <c r="A23" s="520" t="s">
        <v>307</v>
      </c>
      <c r="B23" s="715">
        <f>Deals!F5</f>
        <v>11</v>
      </c>
      <c r="C23" s="205">
        <f>Deals!G5</f>
        <v>1</v>
      </c>
      <c r="D23" s="205">
        <f>Deals!H5</f>
        <v>1</v>
      </c>
      <c r="E23" s="205">
        <f>Deals!I5</f>
        <v>1</v>
      </c>
      <c r="F23" s="205">
        <f>Deals!J5</f>
        <v>1</v>
      </c>
      <c r="G23" s="205">
        <f>Deals!K5</f>
        <v>22</v>
      </c>
      <c r="H23" s="205">
        <f>Deals!L5</f>
        <v>22</v>
      </c>
      <c r="I23" s="205">
        <f>Deals!M5</f>
        <v>28</v>
      </c>
      <c r="J23" s="205">
        <f>Deals!N5</f>
        <v>28</v>
      </c>
      <c r="K23" s="205">
        <f>Deals!O5</f>
        <v>28</v>
      </c>
      <c r="L23" s="205">
        <f>Deals!P5</f>
        <v>28</v>
      </c>
      <c r="M23" s="205">
        <f>Deals!Q5</f>
        <v>28</v>
      </c>
      <c r="N23" s="205">
        <f>Deals!R5</f>
        <v>28</v>
      </c>
      <c r="O23" s="205">
        <f>Deals!S5</f>
        <v>28</v>
      </c>
      <c r="P23" s="205">
        <f>Deals!T5</f>
        <v>28</v>
      </c>
      <c r="Q23" s="205">
        <f>Deals!U5</f>
        <v>28</v>
      </c>
      <c r="R23" s="205">
        <f>Deals!V5</f>
        <v>28</v>
      </c>
      <c r="S23" s="205">
        <f>Deals!W5</f>
        <v>28</v>
      </c>
      <c r="T23" s="205">
        <f>Deals!X5</f>
        <v>28</v>
      </c>
      <c r="U23" s="205">
        <f>Deals!Y5</f>
        <v>28</v>
      </c>
      <c r="V23" s="205">
        <f>Deals!Z5</f>
        <v>28</v>
      </c>
      <c r="W23" s="205">
        <f>Deals!AA5</f>
        <v>28</v>
      </c>
      <c r="X23" s="205">
        <f>Deals!AB5</f>
        <v>28</v>
      </c>
      <c r="Y23" s="655">
        <f>Deals!AC5</f>
        <v>28</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6"/>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8">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7">
        <f t="shared" ca="1" si="1"/>
        <v>0</v>
      </c>
      <c r="Z26" s="160"/>
      <c r="AA26" s="162"/>
    </row>
    <row r="27" spans="1:27" s="161" customFormat="1" ht="12" x14ac:dyDescent="0.2">
      <c r="A27" s="621" t="s">
        <v>359</v>
      </c>
      <c r="B27" s="711">
        <f>Deals!F13</f>
        <v>25</v>
      </c>
      <c r="C27" s="207">
        <f>Deals!G13</f>
        <v>25</v>
      </c>
      <c r="D27" s="207">
        <f>Deals!H13</f>
        <v>25</v>
      </c>
      <c r="E27" s="207">
        <f>Deals!I13</f>
        <v>25</v>
      </c>
      <c r="F27" s="207">
        <f>Deals!J13</f>
        <v>25</v>
      </c>
      <c r="G27" s="207">
        <f>Deals!K13</f>
        <v>25</v>
      </c>
      <c r="H27" s="207">
        <f>Deals!L13</f>
        <v>0</v>
      </c>
      <c r="I27" s="207">
        <f>Deals!M13</f>
        <v>0</v>
      </c>
      <c r="J27" s="207">
        <f>Deals!N13</f>
        <v>0</v>
      </c>
      <c r="K27" s="207">
        <f>Deals!O13</f>
        <v>0</v>
      </c>
      <c r="L27" s="207">
        <f>Deals!P13</f>
        <v>0</v>
      </c>
      <c r="M27" s="207">
        <f>Deals!Q13</f>
        <v>0</v>
      </c>
      <c r="N27" s="207">
        <f>Deals!R13</f>
        <v>0</v>
      </c>
      <c r="O27" s="207">
        <f>Deals!S13</f>
        <v>0</v>
      </c>
      <c r="P27" s="207">
        <f>Deals!T13</f>
        <v>0</v>
      </c>
      <c r="Q27" s="207">
        <f>Deals!U13</f>
        <v>0</v>
      </c>
      <c r="R27" s="207">
        <f>Deals!V13</f>
        <v>0</v>
      </c>
      <c r="S27" s="207">
        <f>Deals!W13</f>
        <v>0</v>
      </c>
      <c r="T27" s="207">
        <f>Deals!X13</f>
        <v>0</v>
      </c>
      <c r="U27" s="207">
        <f>Deals!Y13</f>
        <v>0</v>
      </c>
      <c r="V27" s="207">
        <f>Deals!Z13</f>
        <v>0</v>
      </c>
      <c r="W27" s="207">
        <f>Deals!AA13</f>
        <v>0</v>
      </c>
      <c r="X27" s="207">
        <f>Deals!AB13</f>
        <v>25</v>
      </c>
      <c r="Y27" s="648">
        <f>Deals!AC13</f>
        <v>25</v>
      </c>
      <c r="Z27" s="160"/>
      <c r="AA27" s="162"/>
    </row>
    <row r="28" spans="1:27" s="161" customFormat="1" thickBot="1" x14ac:dyDescent="0.25">
      <c r="A28" s="663"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0</v>
      </c>
      <c r="G28" s="664">
        <f t="array" aca="1" ref="G28" ca="1">SUM(IF((DelPoint= "4C")*IF((DType = "firm")+(DType = "econ")&gt;0,1,0)*(OFFSET(DelPoint,0,G3+2)&gt;0),OFFSET(DelPoint,0,G3+2),0))</f>
        <v>0</v>
      </c>
      <c r="H28" s="664">
        <f t="array" aca="1" ref="H28" ca="1">SUM(IF((DelPoint= "4C")*IF((DType = "firm")+(DType = "econ")&gt;0,1,0)*(OFFSET(DelPoint,0,H3+2)&gt;0),OFFSET(DelPoint,0,H3+2),0))</f>
        <v>20</v>
      </c>
      <c r="I28" s="664">
        <f t="array" aca="1" ref="I28" ca="1">SUM(IF((DelPoint= "4C")*IF((DType = "firm")+(DType = "econ")&gt;0,1,0)*(OFFSET(DelPoint,0,I3+2)&gt;0),OFFSET(DelPoint,0,I3+2),0))</f>
        <v>40</v>
      </c>
      <c r="J28" s="664">
        <f t="array" aca="1" ref="J28" ca="1">SUM(IF((DelPoint= "4C")*IF((DType = "firm")+(DType = "econ")&gt;0,1,0)*(OFFSET(DelPoint,0,J3+2)&gt;0),OFFSET(DelPoint,0,J3+2),0))</f>
        <v>130</v>
      </c>
      <c r="K28" s="664">
        <f t="array" aca="1" ref="K28" ca="1">SUM(IF((DelPoint= "4C")*IF((DType = "firm")+(DType = "econ")&gt;0,1,0)*(OFFSET(DelPoint,0,K3+2)&gt;0),OFFSET(DelPoint,0,K3+2),0))</f>
        <v>80</v>
      </c>
      <c r="L28" s="664">
        <f t="array" aca="1" ref="L28" ca="1">SUM(IF((DelPoint= "4C")*IF((DType = "firm")+(DType = "econ")&gt;0,1,0)*(OFFSET(DelPoint,0,L3+2)&gt;0),OFFSET(DelPoint,0,L3+2),0))</f>
        <v>25</v>
      </c>
      <c r="M28" s="664">
        <f t="array" aca="1" ref="M28" ca="1">SUM(IF((DelPoint= "4C")*IF((DType = "firm")+(DType = "econ")&gt;0,1,0)*(OFFSET(DelPoint,0,M3+2)&gt;0),OFFSET(DelPoint,0,M3+2),0))</f>
        <v>25</v>
      </c>
      <c r="N28" s="664">
        <f t="array" aca="1" ref="N28" ca="1">SUM(IF((DelPoint= "4C")*IF((DType = "firm")+(DType = "econ")&gt;0,1,0)*(OFFSET(DelPoint,0,N3+2)&gt;0),OFFSET(DelPoint,0,N3+2),0))</f>
        <v>35</v>
      </c>
      <c r="O28" s="664">
        <f t="array" aca="1" ref="O28" ca="1">SUM(IF((DelPoint= "4C")*IF((DType = "firm")+(DType = "econ")&gt;0,1,0)*(OFFSET(DelPoint,0,O3+2)&gt;0),OFFSET(DelPoint,0,O3+2),0))</f>
        <v>25</v>
      </c>
      <c r="P28" s="664">
        <f t="array" aca="1" ref="P28" ca="1">SUM(IF((DelPoint= "4C")*IF((DType = "firm")+(DType = "econ")&gt;0,1,0)*(OFFSET(DelPoint,0,P3+2)&gt;0),OFFSET(DelPoint,0,P3+2),0))</f>
        <v>25</v>
      </c>
      <c r="Q28" s="664">
        <f t="array" aca="1" ref="Q28" ca="1">SUM(IF((DelPoint= "4C")*IF((DType = "firm")+(DType = "econ")&gt;0,1,0)*(OFFSET(DelPoint,0,Q3+2)&gt;0),OFFSET(DelPoint,0,Q3+2),0))</f>
        <v>25</v>
      </c>
      <c r="R28" s="664">
        <f t="array" aca="1" ref="R28" ca="1">SUM(IF((DelPoint= "4C")*IF((DType = "firm")+(DType = "econ")&gt;0,1,0)*(OFFSET(DelPoint,0,R3+2)&gt;0),OFFSET(DelPoint,0,R3+2),0))</f>
        <v>25</v>
      </c>
      <c r="S28" s="664">
        <f t="array" aca="1" ref="S28" ca="1">SUM(IF((DelPoint= "4C")*IF((DType = "firm")+(DType = "econ")&gt;0,1,0)*(OFFSET(DelPoint,0,S3+2)&gt;0),OFFSET(DelPoint,0,S3+2),0))</f>
        <v>25</v>
      </c>
      <c r="T28" s="664">
        <f t="array" aca="1" ref="T28" ca="1">SUM(IF((DelPoint= "4C")*IF((DType = "firm")+(DType = "econ")&gt;0,1,0)*(OFFSET(DelPoint,0,T3+2)&gt;0),OFFSET(DelPoint,0,T3+2),0))</f>
        <v>45</v>
      </c>
      <c r="U28" s="664">
        <f t="array" aca="1" ref="U28" ca="1">SUM(IF((DelPoint= "4C")*IF((DType = "firm")+(DType = "econ")&gt;0,1,0)*(OFFSET(DelPoint,0,U3+2)&gt;0),OFFSET(DelPoint,0,U3+2),0))</f>
        <v>45</v>
      </c>
      <c r="V28" s="664">
        <f t="array" aca="1" ref="V28" ca="1">SUM(IF((DelPoint= "4C")*IF((DType = "firm")+(DType = "econ")&gt;0,1,0)*(OFFSET(DelPoint,0,V3+2)&gt;0),OFFSET(DelPoint,0,V3+2),0))</f>
        <v>60</v>
      </c>
      <c r="W28" s="664">
        <f t="array" aca="1" ref="W28" ca="1">SUM(IF((DelPoint= "4C")*IF((DType = "firm")+(DType = "econ")&gt;0,1,0)*(OFFSET(DelPoint,0,W3+2)&gt;0),OFFSET(DelPoint,0,W3+2),0))</f>
        <v>0</v>
      </c>
      <c r="X28" s="664">
        <f t="array" aca="1" ref="X28" ca="1">SUM(IF((DelPoint= "4C")*IF((DType = "firm")+(DType = "econ")&gt;0,1,0)*(OFFSET(DelPoint,0,X3+2)&gt;0),OFFSET(DelPoint,0,X3+2),0))</f>
        <v>0</v>
      </c>
      <c r="Y28" s="666">
        <f t="array" aca="1" ref="Y28" ca="1">SUM(IF((DelPoint= "4C")*IF((DType = "firm")+(DType = "econ")&gt;0,1,0)*(OFFSET(DelPoint,0,Y3+2)&gt;0),OFFSET(DelPoint,0,Y3+2),0))</f>
        <v>0</v>
      </c>
      <c r="Z28" s="160"/>
      <c r="AA28" s="162"/>
    </row>
    <row r="29" spans="1:27" s="161" customFormat="1" ht="12" x14ac:dyDescent="0.2">
      <c r="A29" s="659" t="s">
        <v>118</v>
      </c>
      <c r="B29" s="660">
        <f t="array" aca="1" ref="B29" ca="1">SUM(IF((DelPoint= "PV")*(DType = "pre")*(OFFSET(DelPoint,0,B3+2)&gt;0),OFFSET(DelPoint,0,B3+2),0))</f>
        <v>0</v>
      </c>
      <c r="C29" s="661">
        <f t="array" aca="1" ref="C29" ca="1">SUM(IF((DelPoint= "PV")*(DType = "pre")*(OFFSET(DelPoint,0,C3+2)&gt;0),OFFSET(DelPoint,0,C3+2),0))</f>
        <v>0</v>
      </c>
      <c r="D29" s="661">
        <f t="array" aca="1" ref="D29" ca="1">SUM(IF((DelPoint= "PV")*(DType = "pre")*(OFFSET(DelPoint,0,D3+2)&gt;0),OFFSET(DelPoint,0,D3+2),0))</f>
        <v>0</v>
      </c>
      <c r="E29" s="660">
        <f t="array" aca="1" ref="E29" ca="1">SUM(IF((DelPoint= "PV")*(DType = "pre")*(OFFSET(DelPoint,0,E3+2)&gt;0),OFFSET(DelPoint,0,E3+2),0))</f>
        <v>0</v>
      </c>
      <c r="F29" s="660">
        <f t="array" aca="1" ref="F29" ca="1">SUM(IF((DelPoint= "PV")*(DType = "pre")*(OFFSET(DelPoint,0,F3+2)&gt;0),OFFSET(DelPoint,0,F3+2),0))</f>
        <v>0</v>
      </c>
      <c r="G29" s="660">
        <f t="array" aca="1" ref="G29" ca="1">SUM(IF((DelPoint= "PV")*(DType = "pre")*(OFFSET(DelPoint,0,G3+2)&gt;0),OFFSET(DelPoint,0,G3+2),0))</f>
        <v>0</v>
      </c>
      <c r="H29" s="660">
        <f t="array" aca="1" ref="H29" ca="1">SUM(IF((DelPoint= "PV")*(DType = "pre")*(OFFSET(DelPoint,0,H3+2)&gt;0),OFFSET(DelPoint,0,H3+2),0))</f>
        <v>0</v>
      </c>
      <c r="I29" s="660">
        <f t="array" aca="1" ref="I29" ca="1">SUM(IF((DelPoint= "PV")*(DType = "pre")*(OFFSET(DelPoint,0,I3+2)&gt;0),OFFSET(DelPoint,0,I3+2),0))</f>
        <v>0</v>
      </c>
      <c r="J29" s="660">
        <f t="array" aca="1" ref="J29" ca="1">SUM(IF((DelPoint= "PV")*(DType = "pre")*(OFFSET(DelPoint,0,J3+2)&gt;0),OFFSET(DelPoint,0,J3+2),0))</f>
        <v>0</v>
      </c>
      <c r="K29" s="660">
        <f t="array" aca="1" ref="K29" ca="1">SUM(IF((DelPoint= "PV")*(DType = "pre")*(OFFSET(DelPoint,0,K3+2)&gt;0),OFFSET(DelPoint,0,K3+2),0))</f>
        <v>0</v>
      </c>
      <c r="L29" s="660">
        <f t="array" aca="1" ref="L29" ca="1">SUM(IF((DelPoint= "PV")*(DType = "pre")*(OFFSET(DelPoint,0,L3+2)&gt;0),OFFSET(DelPoint,0,L3+2),0))</f>
        <v>0</v>
      </c>
      <c r="M29" s="660">
        <f t="array" aca="1" ref="M29" ca="1">SUM(IF((DelPoint= "PV")*(DType = "pre")*(OFFSET(DelPoint,0,M3+2)&gt;0),OFFSET(DelPoint,0,M3+2),0))</f>
        <v>0</v>
      </c>
      <c r="N29" s="660">
        <f t="array" aca="1" ref="N29" ca="1">SUM(IF((DelPoint= "PV")*(DType = "pre")*(OFFSET(DelPoint,0,N3+2)&gt;0),OFFSET(DelPoint,0,N3+2),0))</f>
        <v>0</v>
      </c>
      <c r="O29" s="660">
        <f t="array" aca="1" ref="O29" ca="1">SUM(IF((DelPoint= "PV")*(DType = "pre")*(OFFSET(DelPoint,0,O3+2)&gt;0),OFFSET(DelPoint,0,O3+2),0))</f>
        <v>0</v>
      </c>
      <c r="P29" s="660">
        <f t="array" aca="1" ref="P29" ca="1">SUM(IF((DelPoint= "PV")*(DType = "pre")*(OFFSET(DelPoint,0,P3+2)&gt;0),OFFSET(DelPoint,0,P3+2),0))</f>
        <v>0</v>
      </c>
      <c r="Q29" s="660">
        <f t="array" aca="1" ref="Q29" ca="1">SUM(IF((DelPoint= "PV")*(DType = "pre")*(OFFSET(DelPoint,0,Q3+2)&gt;0),OFFSET(DelPoint,0,Q3+2),0))</f>
        <v>0</v>
      </c>
      <c r="R29" s="660">
        <f t="array" aca="1" ref="R29" ca="1">SUM(IF((DelPoint= "PV")*(DType = "pre")*(OFFSET(DelPoint,0,R3+2)&gt;0),OFFSET(DelPoint,0,R3+2),0))</f>
        <v>0</v>
      </c>
      <c r="S29" s="660">
        <f t="array" aca="1" ref="S29" ca="1">SUM(IF((DelPoint= "PV")*(DType = "pre")*(OFFSET(DelPoint,0,S3+2)&gt;0),OFFSET(DelPoint,0,S3+2),0))</f>
        <v>0</v>
      </c>
      <c r="T29" s="660">
        <f t="array" aca="1" ref="T29" ca="1">SUM(IF((DelPoint= "PV")*(DType = "pre")*(OFFSET(DelPoint,0,T3+2)&gt;0),OFFSET(DelPoint,0,T3+2),0))</f>
        <v>0</v>
      </c>
      <c r="U29" s="660">
        <f t="array" aca="1" ref="U29" ca="1">SUM(IF((DelPoint= "PV")*(DType = "pre")*(OFFSET(DelPoint,0,U3+2)&gt;0),OFFSET(DelPoint,0,U3+2),0))</f>
        <v>0</v>
      </c>
      <c r="V29" s="660">
        <f t="array" aca="1" ref="V29" ca="1">SUM(IF((DelPoint= "PV")*(DType = "pre")*(OFFSET(DelPoint,0,V3+2)&gt;0),OFFSET(DelPoint,0,V3+2),0))</f>
        <v>0</v>
      </c>
      <c r="W29" s="660">
        <f t="array" aca="1" ref="W29" ca="1">SUM(IF((DelPoint= "PV")*(DType = "pre")*(OFFSET(DelPoint,0,W3+2)&gt;0),OFFSET(DelPoint,0,W3+2),0))</f>
        <v>0</v>
      </c>
      <c r="X29" s="660">
        <f t="array" aca="1" ref="X29" ca="1">SUM(IF((DelPoint= "PV")*(DType = "pre")*(OFFSET(DelPoint,0,X3+2)&gt;0),OFFSET(DelPoint,0,X3+2),0))</f>
        <v>0</v>
      </c>
      <c r="Y29" s="662">
        <f t="array" aca="1" ref="Y29" ca="1">SUM(IF((DelPoint= "PV")*(DType = "pre")*(OFFSET(DelPoint,0,Y3+2)&gt;0),OFFSET(DelPoint,0,Y3+2),0))</f>
        <v>0</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50">
        <f t="shared" ca="1" si="3"/>
        <v>0</v>
      </c>
      <c r="Z30" s="160"/>
      <c r="AA30" s="162"/>
    </row>
    <row r="31" spans="1:27" s="161" customFormat="1" ht="12" x14ac:dyDescent="0.2">
      <c r="A31" s="513" t="s">
        <v>305</v>
      </c>
      <c r="B31" s="716">
        <f>Deals!F8+Deals!F9+Deals!F11+Deals!F12+Deals!F15+Deals!F16</f>
        <v>75</v>
      </c>
      <c r="C31" s="716">
        <f>Deals!G8+Deals!G9+Deals!G11+Deals!G12+Deals!G15+Deals!G16</f>
        <v>75</v>
      </c>
      <c r="D31" s="716">
        <f>Deals!H8+Deals!H9+Deals!H11+Deals!H12+Deals!H15+Deals!H16</f>
        <v>75</v>
      </c>
      <c r="E31" s="716">
        <f>Deals!I8+Deals!I9+Deals!I11+Deals!I12+Deals!I15+Deals!I16</f>
        <v>75</v>
      </c>
      <c r="F31" s="716">
        <f>Deals!J8+Deals!J9+Deals!J11+Deals!J12+Deals!J15+Deals!J16</f>
        <v>75</v>
      </c>
      <c r="G31" s="716">
        <f>Deals!K8+Deals!K9+Deals!K11+Deals!K12+Deals!K15+Deals!K16</f>
        <v>75</v>
      </c>
      <c r="H31" s="716">
        <f>Deals!L8+Deals!L9+Deals!L11+Deals!L12+Deals!L15+Deals!L16</f>
        <v>0</v>
      </c>
      <c r="I31" s="716">
        <f>Deals!M8+Deals!M9+Deals!M11+Deals!M12+Deals!M15+Deals!M16</f>
        <v>0</v>
      </c>
      <c r="J31" s="716">
        <f>Deals!N8+Deals!N9+Deals!N11+Deals!N12+Deals!N15+Deals!N16</f>
        <v>0</v>
      </c>
      <c r="K31" s="716">
        <f>Deals!O8+Deals!O9+Deals!O11+Deals!O12+Deals!O15+Deals!O16</f>
        <v>0</v>
      </c>
      <c r="L31" s="716">
        <f>Deals!P8+Deals!P9+Deals!P11+Deals!P12+Deals!P15+Deals!P16</f>
        <v>0</v>
      </c>
      <c r="M31" s="716">
        <f>Deals!Q8+Deals!Q9+Deals!Q11+Deals!Q12+Deals!Q15+Deals!Q16</f>
        <v>0</v>
      </c>
      <c r="N31" s="716">
        <f>Deals!R8+Deals!R9+Deals!R11+Deals!R12+Deals!R15+Deals!R16</f>
        <v>0</v>
      </c>
      <c r="O31" s="716">
        <f>Deals!S8+Deals!S9+Deals!S11+Deals!S12+Deals!S15+Deals!S16</f>
        <v>0</v>
      </c>
      <c r="P31" s="716">
        <f>Deals!T8+Deals!T9+Deals!T11+Deals!T12+Deals!T15+Deals!T16</f>
        <v>0</v>
      </c>
      <c r="Q31" s="716">
        <f>Deals!U8+Deals!U9+Deals!U11+Deals!U12+Deals!U15+Deals!U16</f>
        <v>0</v>
      </c>
      <c r="R31" s="716">
        <f>Deals!V8+Deals!V9+Deals!V11+Deals!V12+Deals!V15+Deals!V16</f>
        <v>0</v>
      </c>
      <c r="S31" s="716">
        <f>Deals!W8+Deals!W9+Deals!W11+Deals!W12+Deals!W15+Deals!W16</f>
        <v>0</v>
      </c>
      <c r="T31" s="716">
        <f>Deals!X8+Deals!X9+Deals!X11+Deals!X12+Deals!X15+Deals!X16</f>
        <v>0</v>
      </c>
      <c r="U31" s="716">
        <f>Deals!Y8+Deals!Y9+Deals!Y11+Deals!Y12+Deals!Y15+Deals!Y16</f>
        <v>0</v>
      </c>
      <c r="V31" s="716">
        <f>Deals!Z8+Deals!Z9+Deals!Z11+Deals!Z12+Deals!Z15+Deals!Z16</f>
        <v>0</v>
      </c>
      <c r="W31" s="716">
        <f>Deals!AA8+Deals!AA9+Deals!AA11+Deals!AA12+Deals!AA15+Deals!AA16</f>
        <v>0</v>
      </c>
      <c r="X31" s="716">
        <f>Deals!AB8+Deals!AB9+Deals!AB11+Deals!AB12+Deals!AB15+Deals!AB16</f>
        <v>75</v>
      </c>
      <c r="Y31" s="716">
        <f>Deals!AC8+Deals!AC9+Deals!AC11+Deals!AC12+Deals!AC15+Deals!AC16</f>
        <v>75</v>
      </c>
      <c r="Z31" s="160"/>
      <c r="AA31" s="162"/>
    </row>
    <row r="32" spans="1:27" s="161" customFormat="1" ht="12" x14ac:dyDescent="0.2">
      <c r="A32" s="514" t="s">
        <v>120</v>
      </c>
      <c r="B32" s="632">
        <f t="array" aca="1" ref="B32" ca="1">SUM(IF((DelPoint= "PV")*IF((DType = "firm")+(DType = "econ")&gt;0,1,0)*(OFFSET(DelPoint,0,B3+2)&gt;0),OFFSET(DelPoint,0,B3+2),0))</f>
        <v>40</v>
      </c>
      <c r="C32" s="202">
        <f t="array" aca="1" ref="C32" ca="1">SUM(IF((DelPoint= "PV")*IF((DType = "firm")+(DType = "econ")&gt;0,1,0)*(OFFSET(DelPoint,0,C3+2)&gt;0),OFFSET(DelPoint,0,C3+2),0))</f>
        <v>40</v>
      </c>
      <c r="D32" s="202">
        <f t="array" aca="1" ref="D32" ca="1">SUM(IF((DelPoint= "PV")*IF((DType = "firm")+(DType = "econ")&gt;0,1,0)*(OFFSET(DelPoint,0,D3+2)&gt;0),OFFSET(DelPoint,0,D3+2),0))</f>
        <v>40</v>
      </c>
      <c r="E32" s="202">
        <f t="array" aca="1" ref="E32" ca="1">SUM(IF((DelPoint= "PV")*IF((DType = "firm")+(DType = "econ")&gt;0,1,0)*(OFFSET(DelPoint,0,E3+2)&gt;0),OFFSET(DelPoint,0,E3+2),0))</f>
        <v>40</v>
      </c>
      <c r="F32" s="202">
        <f t="array" aca="1" ref="F32" ca="1">SUM(IF((DelPoint= "PV")*IF((DType = "firm")+(DType = "econ")&gt;0,1,0)*(OFFSET(DelPoint,0,F3+2)&gt;0),OFFSET(DelPoint,0,F3+2),0))</f>
        <v>40</v>
      </c>
      <c r="G32" s="202">
        <f t="array" aca="1" ref="G32" ca="1">SUM(IF((DelPoint= "PV")*IF((DType = "firm")+(DType = "econ")&gt;0,1,0)*(OFFSET(DelPoint,0,G3+2)&gt;0),OFFSET(DelPoint,0,G3+2),0))</f>
        <v>0</v>
      </c>
      <c r="H32" s="202">
        <f t="array" aca="1" ref="H32" ca="1">SUM(IF((DelPoint= "PV")*IF((DType = "firm")+(DType = "econ")&gt;0,1,0)*(OFFSET(DelPoint,0,H3+2)&gt;0),OFFSET(DelPoint,0,H3+2),0))</f>
        <v>0</v>
      </c>
      <c r="I32" s="202">
        <f t="array" aca="1" ref="I32" ca="1">SUM(IF((DelPoint= "PV")*IF((DType = "firm")+(DType = "econ")&gt;0,1,0)*(OFFSET(DelPoint,0,I3+2)&gt;0),OFFSET(DelPoint,0,I3+2),0))</f>
        <v>25</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20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51">
        <f t="array" aca="1" ref="Y32" ca="1">SUM(IF((DelPoint= "PV")*IF((DType = "firm")+(DType = "econ")&gt;0,1,0)*(OFFSET(DelPoint,0,Y3+2)&gt;0),OFFSET(DelPoint,0,Y3+2),0))</f>
        <v>45</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J36" ca="1" si="4">SUMIF(OFFSET(SPSBalancingVol,C$3,0),"&gt;0")</f>
        <v>0</v>
      </c>
      <c r="D36" s="203">
        <f t="shared" ca="1" si="4"/>
        <v>0</v>
      </c>
      <c r="E36" s="600">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1"/>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943</v>
      </c>
      <c r="C38" s="550">
        <f ca="1">SUM(C22:C37)+C4+C5</f>
        <v>871</v>
      </c>
      <c r="D38" s="550">
        <f ca="1">SUM(D22:D37)+D4+D5</f>
        <v>869</v>
      </c>
      <c r="E38" s="550">
        <f ca="1">SUM(E22:E37)+E4+E5</f>
        <v>859</v>
      </c>
      <c r="F38" s="550">
        <f ca="1">SUM(F22:F37)+F4+F5</f>
        <v>904</v>
      </c>
      <c r="G38" s="550">
        <f t="shared" ref="G38:Y38" ca="1" si="6">SUM(G22:G37)+G4+G5</f>
        <v>977</v>
      </c>
      <c r="H38" s="550">
        <f t="shared" ca="1" si="6"/>
        <v>888</v>
      </c>
      <c r="I38" s="550">
        <f t="shared" ca="1" si="6"/>
        <v>968</v>
      </c>
      <c r="J38" s="550">
        <f t="shared" ca="1" si="6"/>
        <v>1076</v>
      </c>
      <c r="K38" s="550">
        <f t="shared" ca="1" si="6"/>
        <v>1070</v>
      </c>
      <c r="L38" s="550">
        <f t="shared" ca="1" si="6"/>
        <v>1072</v>
      </c>
      <c r="M38" s="550">
        <f t="shared" ca="1" si="6"/>
        <v>1067</v>
      </c>
      <c r="N38" s="550">
        <f t="shared" ca="1" si="6"/>
        <v>1100</v>
      </c>
      <c r="O38" s="550">
        <f t="shared" ca="1" si="6"/>
        <v>1070</v>
      </c>
      <c r="P38" s="550">
        <f t="shared" ca="1" si="6"/>
        <v>1081</v>
      </c>
      <c r="Q38" s="550">
        <f t="shared" ca="1" si="6"/>
        <v>1072</v>
      </c>
      <c r="R38" s="550">
        <f t="shared" ca="1" si="6"/>
        <v>1069</v>
      </c>
      <c r="S38" s="550">
        <f t="shared" ca="1" si="6"/>
        <v>1024</v>
      </c>
      <c r="T38" s="550">
        <f t="shared" ca="1" si="6"/>
        <v>1069</v>
      </c>
      <c r="U38" s="550">
        <f t="shared" ca="1" si="6"/>
        <v>1041</v>
      </c>
      <c r="V38" s="550">
        <f t="shared" ca="1" si="6"/>
        <v>1001</v>
      </c>
      <c r="W38" s="550">
        <f t="shared" ca="1" si="6"/>
        <v>860</v>
      </c>
      <c r="X38" s="550">
        <f t="shared" ca="1" si="6"/>
        <v>944</v>
      </c>
      <c r="Y38" s="551">
        <f t="shared" ca="1" si="6"/>
        <v>917</v>
      </c>
      <c r="Z38" s="352"/>
      <c r="AA38" s="162"/>
    </row>
    <row r="39" spans="1:33" s="161" customFormat="1" ht="16.5" thickBot="1" x14ac:dyDescent="0.25">
      <c r="A39" s="566" t="s">
        <v>265</v>
      </c>
      <c r="B39" s="567"/>
      <c r="C39" s="568"/>
      <c r="D39" s="568"/>
      <c r="E39" s="602"/>
      <c r="F39" s="568"/>
      <c r="G39" s="568"/>
      <c r="H39" s="568"/>
      <c r="I39" s="568"/>
      <c r="J39" s="568"/>
      <c r="K39" s="568"/>
      <c r="L39" s="568"/>
      <c r="M39" s="568"/>
      <c r="N39" s="568"/>
      <c r="O39" s="568"/>
      <c r="P39" s="568"/>
      <c r="Q39" s="568"/>
      <c r="R39" s="568"/>
      <c r="S39" s="568"/>
      <c r="T39" s="568"/>
      <c r="U39" s="568"/>
      <c r="V39" s="568"/>
      <c r="W39" s="568"/>
      <c r="X39" s="568"/>
      <c r="Y39" s="627"/>
      <c r="Z39" s="160"/>
      <c r="AA39" s="162"/>
    </row>
    <row r="40" spans="1:33" s="161" customFormat="1" thickTop="1" x14ac:dyDescent="0.2">
      <c r="A40" s="571"/>
      <c r="B40" s="572"/>
      <c r="C40" s="573"/>
      <c r="D40" s="573"/>
      <c r="E40" s="603"/>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31</v>
      </c>
      <c r="C41" s="191">
        <v>31</v>
      </c>
      <c r="D41" s="191">
        <v>31</v>
      </c>
      <c r="E41" s="604">
        <v>31</v>
      </c>
      <c r="F41" s="191">
        <v>31</v>
      </c>
      <c r="G41" s="191">
        <v>45</v>
      </c>
      <c r="H41" s="191">
        <v>46</v>
      </c>
      <c r="I41" s="191">
        <v>46</v>
      </c>
      <c r="J41" s="191">
        <v>79</v>
      </c>
      <c r="K41" s="191">
        <v>79</v>
      </c>
      <c r="L41" s="191">
        <v>79</v>
      </c>
      <c r="M41" s="191">
        <v>79</v>
      </c>
      <c r="N41" s="191">
        <v>79</v>
      </c>
      <c r="O41" s="191">
        <v>80</v>
      </c>
      <c r="P41" s="191">
        <v>81</v>
      </c>
      <c r="Q41" s="191">
        <v>77</v>
      </c>
      <c r="R41" s="191">
        <v>78</v>
      </c>
      <c r="S41" s="191">
        <v>78</v>
      </c>
      <c r="T41" s="191">
        <v>79</v>
      </c>
      <c r="U41" s="191">
        <v>79</v>
      </c>
      <c r="V41" s="191">
        <v>67</v>
      </c>
      <c r="W41" s="191">
        <v>37</v>
      </c>
      <c r="X41" s="191">
        <v>50</v>
      </c>
      <c r="Y41" s="576">
        <v>50</v>
      </c>
      <c r="Z41" s="354">
        <v>80</v>
      </c>
      <c r="AA41" s="214">
        <f ca="1">-Economics!D34/Economics!I34</f>
        <v>16497.969148596938</v>
      </c>
    </row>
    <row r="42" spans="1:33" s="161" customFormat="1" ht="15" customHeight="1" x14ac:dyDescent="0.2">
      <c r="A42" s="575" t="s">
        <v>131</v>
      </c>
      <c r="B42" s="191">
        <v>44</v>
      </c>
      <c r="C42" s="191">
        <v>37</v>
      </c>
      <c r="D42" s="191">
        <v>40</v>
      </c>
      <c r="E42" s="604">
        <v>38</v>
      </c>
      <c r="F42" s="191">
        <v>43</v>
      </c>
      <c r="G42" s="191">
        <v>73</v>
      </c>
      <c r="H42" s="191">
        <v>46</v>
      </c>
      <c r="I42" s="191">
        <v>45</v>
      </c>
      <c r="J42" s="191">
        <v>76</v>
      </c>
      <c r="K42" s="191">
        <v>73</v>
      </c>
      <c r="L42" s="191">
        <v>72</v>
      </c>
      <c r="M42" s="191">
        <v>68</v>
      </c>
      <c r="N42" s="191">
        <v>76</v>
      </c>
      <c r="O42" s="191">
        <v>72</v>
      </c>
      <c r="P42" s="191">
        <v>75</v>
      </c>
      <c r="Q42" s="191">
        <v>76</v>
      </c>
      <c r="R42" s="191">
        <v>75</v>
      </c>
      <c r="S42" s="191">
        <v>61</v>
      </c>
      <c r="T42" s="191">
        <v>62</v>
      </c>
      <c r="U42" s="191">
        <v>65</v>
      </c>
      <c r="V42" s="191">
        <v>37</v>
      </c>
      <c r="W42" s="191">
        <v>37</v>
      </c>
      <c r="X42" s="191">
        <v>48</v>
      </c>
      <c r="Y42" s="576">
        <v>45</v>
      </c>
      <c r="Z42" s="354">
        <v>78</v>
      </c>
      <c r="AA42" s="214">
        <f ca="1">-Economics!D35/Economics!I35</f>
        <v>14478.346221301021</v>
      </c>
    </row>
    <row r="43" spans="1:33" s="161" customFormat="1" ht="12.75" customHeight="1" x14ac:dyDescent="0.2">
      <c r="A43" s="577" t="s">
        <v>132</v>
      </c>
      <c r="B43" s="192">
        <v>94</v>
      </c>
      <c r="C43" s="192">
        <v>37</v>
      </c>
      <c r="D43" s="192">
        <v>38</v>
      </c>
      <c r="E43" s="605">
        <v>37</v>
      </c>
      <c r="F43" s="192">
        <v>60</v>
      </c>
      <c r="G43" s="192">
        <v>92</v>
      </c>
      <c r="H43" s="192">
        <v>41</v>
      </c>
      <c r="I43" s="192">
        <v>93</v>
      </c>
      <c r="J43" s="192">
        <v>93</v>
      </c>
      <c r="K43" s="192">
        <v>91</v>
      </c>
      <c r="L43" s="192">
        <v>91</v>
      </c>
      <c r="M43" s="192">
        <v>87</v>
      </c>
      <c r="N43" s="192">
        <v>92</v>
      </c>
      <c r="O43" s="192">
        <v>89</v>
      </c>
      <c r="P43" s="192">
        <v>90</v>
      </c>
      <c r="Q43" s="192">
        <v>91</v>
      </c>
      <c r="R43" s="192">
        <v>91</v>
      </c>
      <c r="S43" s="192">
        <v>81</v>
      </c>
      <c r="T43" s="192">
        <v>95</v>
      </c>
      <c r="U43" s="192">
        <v>79</v>
      </c>
      <c r="V43" s="192">
        <v>79</v>
      </c>
      <c r="W43" s="192">
        <v>37</v>
      </c>
      <c r="X43" s="192">
        <v>62</v>
      </c>
      <c r="Y43" s="578">
        <v>66</v>
      </c>
      <c r="Z43" s="356">
        <v>103</v>
      </c>
      <c r="AA43" s="215">
        <f ca="1">-Economics!D36/Economics!I36</f>
        <v>18376.145966198979</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99</v>
      </c>
      <c r="C46" s="191">
        <v>98</v>
      </c>
      <c r="D46" s="191">
        <v>88</v>
      </c>
      <c r="E46" s="191">
        <v>92</v>
      </c>
      <c r="F46" s="191">
        <v>100</v>
      </c>
      <c r="G46" s="191">
        <v>99</v>
      </c>
      <c r="H46" s="191">
        <v>83</v>
      </c>
      <c r="I46" s="191">
        <v>99</v>
      </c>
      <c r="J46" s="191">
        <v>97</v>
      </c>
      <c r="K46" s="191">
        <v>98</v>
      </c>
      <c r="L46" s="191">
        <v>97</v>
      </c>
      <c r="M46" s="191">
        <v>95</v>
      </c>
      <c r="N46" s="191">
        <v>95</v>
      </c>
      <c r="O46" s="191">
        <v>97</v>
      </c>
      <c r="P46" s="191">
        <v>95</v>
      </c>
      <c r="Q46" s="191">
        <v>95</v>
      </c>
      <c r="R46" s="191">
        <v>97</v>
      </c>
      <c r="S46" s="191">
        <v>90</v>
      </c>
      <c r="T46" s="191">
        <v>101</v>
      </c>
      <c r="U46" s="191">
        <v>99</v>
      </c>
      <c r="V46" s="191">
        <v>99</v>
      </c>
      <c r="W46" s="191">
        <v>67</v>
      </c>
      <c r="X46" s="191">
        <v>88</v>
      </c>
      <c r="Y46" s="576">
        <v>99</v>
      </c>
      <c r="Z46" s="354">
        <v>108</v>
      </c>
      <c r="AA46" s="214">
        <f ca="1">-Economics!D39/Economics!I39</f>
        <v>21271.705596301021</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578">
        <v>0</v>
      </c>
      <c r="Z48" s="356">
        <v>212</v>
      </c>
      <c r="AA48" s="215">
        <f ca="1">-Economics!D41/Economics!I41</f>
        <v>0</v>
      </c>
    </row>
    <row r="49" spans="1:27" s="161" customFormat="1" ht="12.75" customHeight="1" x14ac:dyDescent="0.2">
      <c r="A49" s="577" t="s">
        <v>134</v>
      </c>
      <c r="B49" s="192">
        <v>0</v>
      </c>
      <c r="C49" s="192">
        <v>0</v>
      </c>
      <c r="D49" s="192">
        <v>0</v>
      </c>
      <c r="E49" s="192">
        <v>0</v>
      </c>
      <c r="F49" s="192">
        <v>0</v>
      </c>
      <c r="G49" s="192">
        <v>0</v>
      </c>
      <c r="H49" s="192">
        <v>0</v>
      </c>
      <c r="I49" s="192">
        <v>4</v>
      </c>
      <c r="J49" s="192">
        <v>57</v>
      </c>
      <c r="K49" s="192">
        <v>62</v>
      </c>
      <c r="L49" s="192">
        <v>62</v>
      </c>
      <c r="M49" s="192">
        <v>60</v>
      </c>
      <c r="N49" s="192">
        <v>66</v>
      </c>
      <c r="O49" s="192">
        <v>63</v>
      </c>
      <c r="P49" s="192">
        <v>62</v>
      </c>
      <c r="Q49" s="192">
        <v>66</v>
      </c>
      <c r="R49" s="192">
        <v>63</v>
      </c>
      <c r="S49" s="192">
        <v>52</v>
      </c>
      <c r="T49" s="192">
        <v>53</v>
      </c>
      <c r="U49" s="192">
        <v>52</v>
      </c>
      <c r="V49" s="192">
        <v>53</v>
      </c>
      <c r="W49" s="192">
        <v>18</v>
      </c>
      <c r="X49" s="192">
        <v>48</v>
      </c>
      <c r="Y49" s="578">
        <v>0</v>
      </c>
      <c r="Z49" s="356">
        <v>68</v>
      </c>
      <c r="AA49" s="215">
        <f ca="1">-Economics!D42/Economics!I42</f>
        <v>11434.691884566328</v>
      </c>
    </row>
    <row r="50" spans="1:27" s="161" customFormat="1" ht="12.75" customHeight="1" x14ac:dyDescent="0.2">
      <c r="A50" s="575" t="s">
        <v>135</v>
      </c>
      <c r="B50" s="191">
        <v>38</v>
      </c>
      <c r="C50" s="191">
        <v>38</v>
      </c>
      <c r="D50" s="191">
        <v>38</v>
      </c>
      <c r="E50" s="191">
        <v>38</v>
      </c>
      <c r="F50" s="191">
        <v>38</v>
      </c>
      <c r="G50" s="191">
        <v>38</v>
      </c>
      <c r="H50" s="191">
        <v>38</v>
      </c>
      <c r="I50" s="191">
        <v>39</v>
      </c>
      <c r="J50" s="191">
        <v>38</v>
      </c>
      <c r="K50" s="191">
        <v>38</v>
      </c>
      <c r="L50" s="191">
        <v>38</v>
      </c>
      <c r="M50" s="191">
        <v>38</v>
      </c>
      <c r="N50" s="191">
        <v>38</v>
      </c>
      <c r="O50" s="191">
        <v>38</v>
      </c>
      <c r="P50" s="191">
        <v>38</v>
      </c>
      <c r="Q50" s="191">
        <v>38</v>
      </c>
      <c r="R50" s="191">
        <v>38</v>
      </c>
      <c r="S50" s="191">
        <v>38</v>
      </c>
      <c r="T50" s="191">
        <v>38</v>
      </c>
      <c r="U50" s="191">
        <v>38</v>
      </c>
      <c r="V50" s="191">
        <v>38</v>
      </c>
      <c r="W50" s="191">
        <v>37</v>
      </c>
      <c r="X50" s="191">
        <v>28</v>
      </c>
      <c r="Y50" s="576">
        <v>28</v>
      </c>
      <c r="Z50" s="354">
        <v>48</v>
      </c>
      <c r="AA50" s="214">
        <f ca="1">-Economics!D43/Economics!I43</f>
        <v>10878.402549342107</v>
      </c>
    </row>
    <row r="51" spans="1:27" s="161" customFormat="1" ht="12.75" customHeight="1" x14ac:dyDescent="0.2">
      <c r="A51" s="575" t="s">
        <v>136</v>
      </c>
      <c r="B51" s="191">
        <v>32</v>
      </c>
      <c r="C51" s="191">
        <v>32</v>
      </c>
      <c r="D51" s="191">
        <v>32</v>
      </c>
      <c r="E51" s="191">
        <v>32</v>
      </c>
      <c r="F51" s="191">
        <v>32</v>
      </c>
      <c r="G51" s="191">
        <v>32</v>
      </c>
      <c r="H51" s="191">
        <v>32</v>
      </c>
      <c r="I51" s="191">
        <v>30</v>
      </c>
      <c r="J51" s="191">
        <v>30</v>
      </c>
      <c r="K51" s="191">
        <v>30</v>
      </c>
      <c r="L51" s="191">
        <v>31</v>
      </c>
      <c r="M51" s="191">
        <v>31</v>
      </c>
      <c r="N51" s="191">
        <v>31</v>
      </c>
      <c r="O51" s="191">
        <v>31</v>
      </c>
      <c r="P51" s="191">
        <v>31</v>
      </c>
      <c r="Q51" s="191">
        <v>31</v>
      </c>
      <c r="R51" s="191">
        <v>31</v>
      </c>
      <c r="S51" s="191">
        <v>31</v>
      </c>
      <c r="T51" s="191">
        <v>31</v>
      </c>
      <c r="U51" s="191">
        <v>31</v>
      </c>
      <c r="V51" s="191">
        <v>31</v>
      </c>
      <c r="W51" s="191">
        <v>29</v>
      </c>
      <c r="X51" s="191">
        <v>28</v>
      </c>
      <c r="Y51" s="576">
        <v>28</v>
      </c>
      <c r="Z51" s="354">
        <v>44</v>
      </c>
      <c r="AA51" s="214">
        <f ca="1">-Economics!D44/Economics!I44</f>
        <v>7883.2236842105267</v>
      </c>
    </row>
    <row r="52" spans="1:27" s="161" customFormat="1" ht="12.75" customHeight="1" thickBot="1" x14ac:dyDescent="0.25">
      <c r="A52" s="575" t="s">
        <v>137</v>
      </c>
      <c r="B52" s="191">
        <v>49</v>
      </c>
      <c r="C52" s="191">
        <v>49</v>
      </c>
      <c r="D52" s="191">
        <v>49</v>
      </c>
      <c r="E52" s="191">
        <v>49</v>
      </c>
      <c r="F52" s="191">
        <v>49</v>
      </c>
      <c r="G52" s="191">
        <v>49</v>
      </c>
      <c r="H52" s="191">
        <v>49</v>
      </c>
      <c r="I52" s="191">
        <v>49</v>
      </c>
      <c r="J52" s="191">
        <v>50</v>
      </c>
      <c r="K52" s="191">
        <v>50</v>
      </c>
      <c r="L52" s="191">
        <v>50</v>
      </c>
      <c r="M52" s="191">
        <v>50</v>
      </c>
      <c r="N52" s="191">
        <v>50</v>
      </c>
      <c r="O52" s="191">
        <v>50</v>
      </c>
      <c r="P52" s="191">
        <v>50</v>
      </c>
      <c r="Q52" s="191">
        <v>50</v>
      </c>
      <c r="R52" s="191">
        <v>50</v>
      </c>
      <c r="S52" s="191">
        <v>50</v>
      </c>
      <c r="T52" s="191">
        <v>50</v>
      </c>
      <c r="U52" s="191">
        <v>50</v>
      </c>
      <c r="V52" s="191">
        <v>50</v>
      </c>
      <c r="W52" s="191">
        <v>49</v>
      </c>
      <c r="X52" s="191">
        <v>49</v>
      </c>
      <c r="Y52" s="576">
        <v>50</v>
      </c>
      <c r="Z52" s="357">
        <v>130</v>
      </c>
      <c r="AA52" s="216">
        <f ca="1">-Economics!D45/Economics!I45</f>
        <v>12400.982169557417</v>
      </c>
    </row>
    <row r="53" spans="1:27" s="161" customFormat="1" ht="12.75" customHeight="1" thickTop="1" x14ac:dyDescent="0.2">
      <c r="A53" s="575" t="s">
        <v>127</v>
      </c>
      <c r="B53" s="191">
        <v>132</v>
      </c>
      <c r="C53" s="191">
        <v>132</v>
      </c>
      <c r="D53" s="191">
        <v>132</v>
      </c>
      <c r="E53" s="191">
        <v>132</v>
      </c>
      <c r="F53" s="191">
        <v>132</v>
      </c>
      <c r="G53" s="191">
        <v>132</v>
      </c>
      <c r="H53" s="191">
        <v>132</v>
      </c>
      <c r="I53" s="191">
        <v>132</v>
      </c>
      <c r="J53" s="191">
        <v>132</v>
      </c>
      <c r="K53" s="191">
        <v>132</v>
      </c>
      <c r="L53" s="191">
        <v>132</v>
      </c>
      <c r="M53" s="191">
        <v>132</v>
      </c>
      <c r="N53" s="191">
        <v>132</v>
      </c>
      <c r="O53" s="191">
        <v>132</v>
      </c>
      <c r="P53" s="191">
        <v>132</v>
      </c>
      <c r="Q53" s="191">
        <v>132</v>
      </c>
      <c r="R53" s="191">
        <v>132</v>
      </c>
      <c r="S53" s="191">
        <v>132</v>
      </c>
      <c r="T53" s="191">
        <v>132</v>
      </c>
      <c r="U53" s="191">
        <v>132</v>
      </c>
      <c r="V53" s="191">
        <v>132</v>
      </c>
      <c r="W53" s="191">
        <v>132</v>
      </c>
      <c r="X53" s="191">
        <v>132</v>
      </c>
      <c r="Y53" s="576">
        <v>132</v>
      </c>
      <c r="Z53" s="354">
        <v>198</v>
      </c>
      <c r="AA53" s="212"/>
    </row>
    <row r="54" spans="1:27" s="161" customFormat="1" ht="12.75" customHeight="1" x14ac:dyDescent="0.2">
      <c r="A54" s="575" t="s">
        <v>128</v>
      </c>
      <c r="B54" s="191">
        <v>132</v>
      </c>
      <c r="C54" s="191">
        <v>132</v>
      </c>
      <c r="D54" s="191">
        <v>132</v>
      </c>
      <c r="E54" s="191">
        <v>132</v>
      </c>
      <c r="F54" s="191">
        <v>132</v>
      </c>
      <c r="G54" s="191">
        <v>132</v>
      </c>
      <c r="H54" s="191">
        <v>132</v>
      </c>
      <c r="I54" s="191">
        <v>132</v>
      </c>
      <c r="J54" s="191">
        <v>132</v>
      </c>
      <c r="K54" s="191">
        <v>132</v>
      </c>
      <c r="L54" s="191">
        <v>132</v>
      </c>
      <c r="M54" s="191">
        <v>132</v>
      </c>
      <c r="N54" s="191">
        <v>132</v>
      </c>
      <c r="O54" s="191">
        <v>132</v>
      </c>
      <c r="P54" s="191">
        <v>132</v>
      </c>
      <c r="Q54" s="191">
        <v>132</v>
      </c>
      <c r="R54" s="191">
        <v>132</v>
      </c>
      <c r="S54" s="191">
        <v>132</v>
      </c>
      <c r="T54" s="191">
        <v>132</v>
      </c>
      <c r="U54" s="191">
        <v>132</v>
      </c>
      <c r="V54" s="191">
        <v>132</v>
      </c>
      <c r="W54" s="191">
        <v>132</v>
      </c>
      <c r="X54" s="191">
        <v>132</v>
      </c>
      <c r="Y54" s="576">
        <v>132</v>
      </c>
      <c r="Z54" s="354">
        <v>198</v>
      </c>
      <c r="AA54" s="212"/>
    </row>
    <row r="55" spans="1:27" s="161" customFormat="1" ht="12.75" customHeight="1" x14ac:dyDescent="0.2">
      <c r="A55" s="575" t="s">
        <v>129</v>
      </c>
      <c r="B55" s="191">
        <v>132</v>
      </c>
      <c r="C55" s="191">
        <v>132</v>
      </c>
      <c r="D55" s="191">
        <v>132</v>
      </c>
      <c r="E55" s="191">
        <v>132</v>
      </c>
      <c r="F55" s="191">
        <v>132</v>
      </c>
      <c r="G55" s="191">
        <v>132</v>
      </c>
      <c r="H55" s="191">
        <v>132</v>
      </c>
      <c r="I55" s="191">
        <v>133</v>
      </c>
      <c r="J55" s="191">
        <v>132</v>
      </c>
      <c r="K55" s="191">
        <v>132</v>
      </c>
      <c r="L55" s="191">
        <v>132</v>
      </c>
      <c r="M55" s="191">
        <v>132</v>
      </c>
      <c r="N55" s="191">
        <v>132</v>
      </c>
      <c r="O55" s="191">
        <v>132</v>
      </c>
      <c r="P55" s="191">
        <v>131</v>
      </c>
      <c r="Q55" s="191">
        <v>131</v>
      </c>
      <c r="R55" s="191">
        <v>132</v>
      </c>
      <c r="S55" s="191">
        <v>132</v>
      </c>
      <c r="T55" s="191">
        <v>132</v>
      </c>
      <c r="U55" s="191">
        <v>132</v>
      </c>
      <c r="V55" s="191">
        <v>132</v>
      </c>
      <c r="W55" s="191">
        <v>132</v>
      </c>
      <c r="X55" s="191">
        <v>132</v>
      </c>
      <c r="Y55" s="576">
        <v>132</v>
      </c>
      <c r="Z55" s="354">
        <v>198</v>
      </c>
      <c r="AA55" s="212"/>
    </row>
    <row r="56" spans="1:27" s="161" customFormat="1" ht="12.75" customHeight="1" x14ac:dyDescent="0.2">
      <c r="A56" s="575" t="s">
        <v>125</v>
      </c>
      <c r="B56" s="191">
        <v>51</v>
      </c>
      <c r="C56" s="191">
        <v>51</v>
      </c>
      <c r="D56" s="191">
        <v>51</v>
      </c>
      <c r="E56" s="191">
        <v>51</v>
      </c>
      <c r="F56" s="191">
        <v>51</v>
      </c>
      <c r="G56" s="191">
        <v>50</v>
      </c>
      <c r="H56" s="191">
        <v>51</v>
      </c>
      <c r="I56" s="191">
        <v>57</v>
      </c>
      <c r="J56" s="191">
        <v>57</v>
      </c>
      <c r="K56" s="191">
        <v>55</v>
      </c>
      <c r="L56" s="191">
        <v>55</v>
      </c>
      <c r="M56" s="191">
        <v>62</v>
      </c>
      <c r="N56" s="191">
        <v>67</v>
      </c>
      <c r="O56" s="191">
        <v>60</v>
      </c>
      <c r="P56" s="191">
        <v>61</v>
      </c>
      <c r="Q56" s="191">
        <v>54</v>
      </c>
      <c r="R56" s="191">
        <v>50</v>
      </c>
      <c r="S56" s="191">
        <v>50</v>
      </c>
      <c r="T56" s="191">
        <v>51</v>
      </c>
      <c r="U56" s="191">
        <v>51</v>
      </c>
      <c r="V56" s="191">
        <v>51</v>
      </c>
      <c r="W56" s="191">
        <v>51</v>
      </c>
      <c r="X56" s="191">
        <v>51</v>
      </c>
      <c r="Y56" s="576">
        <v>51</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-9</v>
      </c>
      <c r="C58" s="580">
        <f t="shared" ca="1" si="7"/>
        <v>-2</v>
      </c>
      <c r="D58" s="580">
        <f t="shared" ca="1" si="7"/>
        <v>-5</v>
      </c>
      <c r="E58" s="580">
        <f t="shared" ca="1" si="7"/>
        <v>7</v>
      </c>
      <c r="F58" s="580">
        <f t="shared" ca="1" si="7"/>
        <v>-4</v>
      </c>
      <c r="G58" s="580">
        <f t="shared" ca="1" si="7"/>
        <v>-3</v>
      </c>
      <c r="H58" s="580">
        <f t="shared" ca="1" si="7"/>
        <v>-3</v>
      </c>
      <c r="I58" s="580">
        <f t="shared" ca="1" si="7"/>
        <v>-6</v>
      </c>
      <c r="J58" s="580">
        <f t="shared" ca="1" si="7"/>
        <v>0</v>
      </c>
      <c r="K58" s="580">
        <f t="shared" ca="1" si="7"/>
        <v>5</v>
      </c>
      <c r="L58" s="580">
        <f t="shared" ca="1" si="7"/>
        <v>2</v>
      </c>
      <c r="M58" s="580">
        <f t="shared" ca="1" si="7"/>
        <v>17</v>
      </c>
      <c r="N58" s="580">
        <f t="shared" ca="1" si="7"/>
        <v>8</v>
      </c>
      <c r="O58" s="580">
        <f t="shared" ca="1" si="7"/>
        <v>24</v>
      </c>
      <c r="P58" s="580">
        <f t="shared" ca="1" si="7"/>
        <v>15</v>
      </c>
      <c r="Q58" s="580">
        <f t="shared" ca="1" si="7"/>
        <v>19</v>
      </c>
      <c r="R58" s="580">
        <f t="shared" ca="1" si="7"/>
        <v>18</v>
      </c>
      <c r="S58" s="580">
        <f t="shared" ca="1" si="7"/>
        <v>21</v>
      </c>
      <c r="T58" s="580">
        <f t="shared" ca="1" si="7"/>
        <v>5</v>
      </c>
      <c r="U58" s="581">
        <f t="shared" ca="1" si="7"/>
        <v>17</v>
      </c>
      <c r="V58" s="581">
        <f t="shared" ca="1" si="7"/>
        <v>3</v>
      </c>
      <c r="W58" s="581">
        <f t="shared" ca="1" si="7"/>
        <v>1</v>
      </c>
      <c r="X58" s="581">
        <f t="shared" ca="1" si="7"/>
        <v>4</v>
      </c>
      <c r="Y58" s="658">
        <f t="shared" ca="1" si="7"/>
        <v>-4</v>
      </c>
      <c r="Z58" s="355">
        <f>SUM(Z41:Z55)+Z41+Z42+Z43+Z48+Z49+Z50+Z51+Z52</f>
        <v>2416</v>
      </c>
      <c r="AA58" s="213">
        <f ca="1">SUM(AA41:AA55)</f>
        <v>113221.46722007435</v>
      </c>
    </row>
    <row r="59" spans="1:27" s="161" customFormat="1" ht="12" x14ac:dyDescent="0.2">
      <c r="A59" s="569">
        <v>0</v>
      </c>
      <c r="B59" s="570">
        <f t="shared" ref="B59:Y59" ca="1" si="8">SUM(B41:B57)-SUM(B7:B20)</f>
        <v>934</v>
      </c>
      <c r="C59" s="570">
        <f t="shared" ca="1" si="8"/>
        <v>869</v>
      </c>
      <c r="D59" s="570">
        <f t="shared" ca="1" si="8"/>
        <v>864</v>
      </c>
      <c r="E59" s="570">
        <f t="shared" ca="1" si="8"/>
        <v>866</v>
      </c>
      <c r="F59" s="570">
        <f t="shared" ca="1" si="8"/>
        <v>900</v>
      </c>
      <c r="G59" s="570">
        <f t="shared" ca="1" si="8"/>
        <v>974</v>
      </c>
      <c r="H59" s="570">
        <f t="shared" ca="1" si="8"/>
        <v>885</v>
      </c>
      <c r="I59" s="570">
        <f t="shared" ca="1" si="8"/>
        <v>962</v>
      </c>
      <c r="J59" s="570">
        <f t="shared" ca="1" si="8"/>
        <v>1076</v>
      </c>
      <c r="K59" s="570">
        <f t="shared" ca="1" si="8"/>
        <v>1075</v>
      </c>
      <c r="L59" s="570">
        <f t="shared" ca="1" si="8"/>
        <v>1074</v>
      </c>
      <c r="M59" s="570">
        <f t="shared" ca="1" si="8"/>
        <v>1084</v>
      </c>
      <c r="N59" s="570">
        <f t="shared" ca="1" si="8"/>
        <v>1108</v>
      </c>
      <c r="O59" s="570">
        <f t="shared" ca="1" si="8"/>
        <v>1094</v>
      </c>
      <c r="P59" s="570">
        <f t="shared" ca="1" si="8"/>
        <v>1096</v>
      </c>
      <c r="Q59" s="570">
        <f t="shared" ca="1" si="8"/>
        <v>1091</v>
      </c>
      <c r="R59" s="570">
        <f t="shared" ca="1" si="8"/>
        <v>1087</v>
      </c>
      <c r="S59" s="570">
        <f t="shared" ca="1" si="8"/>
        <v>1045</v>
      </c>
      <c r="T59" s="570">
        <f ca="1">SUM(T41:T57)-SUM(T7:T20)</f>
        <v>1074</v>
      </c>
      <c r="U59" s="570">
        <f t="shared" ca="1" si="8"/>
        <v>1058</v>
      </c>
      <c r="V59" s="570">
        <f t="shared" ca="1" si="8"/>
        <v>1004</v>
      </c>
      <c r="W59" s="570">
        <f t="shared" ca="1" si="8"/>
        <v>861</v>
      </c>
      <c r="X59" s="570">
        <f t="shared" ca="1" si="8"/>
        <v>948</v>
      </c>
      <c r="Y59" s="570">
        <f t="shared" ca="1" si="8"/>
        <v>913</v>
      </c>
      <c r="Z59" s="217">
        <f ca="1">SUM(Economics!D28:D45)</f>
        <v>-300762.09804375004</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128</v>
      </c>
      <c r="C62" s="169">
        <f t="shared" ca="1" si="10"/>
        <v>158</v>
      </c>
      <c r="D62" s="169">
        <f t="shared" ca="1" si="10"/>
        <v>159</v>
      </c>
      <c r="E62" s="169">
        <f t="shared" ca="1" si="10"/>
        <v>160</v>
      </c>
      <c r="F62" s="169">
        <f t="shared" ca="1" si="10"/>
        <v>158</v>
      </c>
      <c r="G62" s="169">
        <f t="shared" ca="1" si="10"/>
        <v>198</v>
      </c>
      <c r="H62" s="169">
        <f t="shared" ca="1" si="10"/>
        <v>326</v>
      </c>
      <c r="I62" s="169">
        <f t="shared" ca="1" si="10"/>
        <v>302</v>
      </c>
      <c r="J62" s="169">
        <f ca="1">-SUM(J12:J15,J29:J32,J22) + SUM(J53:J55)</f>
        <v>311</v>
      </c>
      <c r="K62" s="169">
        <f t="shared" ca="1" si="10"/>
        <v>301</v>
      </c>
      <c r="L62" s="169">
        <f t="shared" ca="1" si="10"/>
        <v>256</v>
      </c>
      <c r="M62" s="169">
        <f t="shared" ca="1" si="10"/>
        <v>256</v>
      </c>
      <c r="N62" s="169">
        <f t="shared" ca="1" si="10"/>
        <v>256</v>
      </c>
      <c r="O62" s="169">
        <f t="shared" ca="1" si="10"/>
        <v>256</v>
      </c>
      <c r="P62" s="169">
        <f t="shared" ca="1" si="10"/>
        <v>255</v>
      </c>
      <c r="Q62" s="169">
        <f t="shared" ca="1" si="10"/>
        <v>255</v>
      </c>
      <c r="R62" s="169">
        <f t="shared" ca="1" si="10"/>
        <v>236</v>
      </c>
      <c r="S62" s="169">
        <f t="shared" ca="1" si="10"/>
        <v>256</v>
      </c>
      <c r="T62" s="169">
        <f t="shared" ca="1" si="10"/>
        <v>266</v>
      </c>
      <c r="U62" s="169">
        <f t="shared" ca="1" si="10"/>
        <v>336</v>
      </c>
      <c r="V62" s="169">
        <f t="shared" ca="1" si="10"/>
        <v>316</v>
      </c>
      <c r="W62" s="169">
        <f t="shared" ca="1" si="10"/>
        <v>316</v>
      </c>
      <c r="X62" s="169">
        <f t="shared" ca="1" si="10"/>
        <v>168</v>
      </c>
      <c r="Y62" s="170">
        <f t="shared" ca="1" si="10"/>
        <v>173</v>
      </c>
      <c r="Z62" s="193"/>
      <c r="AA62" s="162"/>
    </row>
    <row r="63" spans="1:27" s="161" customFormat="1" ht="12" x14ac:dyDescent="0.2">
      <c r="A63" s="195" t="s">
        <v>141</v>
      </c>
      <c r="B63" s="169">
        <f t="shared" ref="B63:L63" ca="1" si="11">-SUM(B8:B11,B25:B28) + SUM(B56:B57)</f>
        <v>26</v>
      </c>
      <c r="C63" s="169">
        <f t="shared" ca="1" si="11"/>
        <v>26</v>
      </c>
      <c r="D63" s="169">
        <f t="shared" ca="1" si="11"/>
        <v>26</v>
      </c>
      <c r="E63" s="169">
        <f t="shared" ca="1" si="11"/>
        <v>26</v>
      </c>
      <c r="F63" s="169">
        <f t="shared" ca="1" si="11"/>
        <v>26</v>
      </c>
      <c r="G63" s="169">
        <f t="shared" ca="1" si="11"/>
        <v>25</v>
      </c>
      <c r="H63" s="169">
        <f t="shared" ca="1" si="11"/>
        <v>31</v>
      </c>
      <c r="I63" s="169">
        <f t="shared" ca="1" si="11"/>
        <v>17</v>
      </c>
      <c r="J63" s="169">
        <f t="shared" ca="1" si="11"/>
        <v>-73</v>
      </c>
      <c r="K63" s="169">
        <f t="shared" ca="1" si="11"/>
        <v>-25</v>
      </c>
      <c r="L63" s="169">
        <f t="shared" ca="1" si="11"/>
        <v>30</v>
      </c>
      <c r="M63" s="169">
        <f ca="1">-SUM(M8:M11,M25:M28) + SUM(M57:M57)</f>
        <v>-10</v>
      </c>
      <c r="N63" s="169">
        <f t="shared" ref="N63:Y63" ca="1" si="12">-SUM(N8:N11,N25:N28) + SUM(N56:N57)</f>
        <v>47</v>
      </c>
      <c r="O63" s="169">
        <f t="shared" ca="1" si="12"/>
        <v>50</v>
      </c>
      <c r="P63" s="169">
        <f t="shared" ca="1" si="12"/>
        <v>51</v>
      </c>
      <c r="Q63" s="169">
        <f t="shared" ca="1" si="12"/>
        <v>44</v>
      </c>
      <c r="R63" s="169">
        <f t="shared" ca="1" si="12"/>
        <v>40</v>
      </c>
      <c r="S63" s="169">
        <f t="shared" ca="1" si="12"/>
        <v>40</v>
      </c>
      <c r="T63" s="169">
        <f t="shared" ca="1" si="12"/>
        <v>21</v>
      </c>
      <c r="U63" s="169">
        <f t="shared" ca="1" si="12"/>
        <v>21</v>
      </c>
      <c r="V63" s="169">
        <f t="shared" ca="1" si="12"/>
        <v>-9</v>
      </c>
      <c r="W63" s="169">
        <f t="shared" ca="1" si="12"/>
        <v>51</v>
      </c>
      <c r="X63" s="169">
        <f t="shared" ca="1" si="12"/>
        <v>26</v>
      </c>
      <c r="Y63" s="170">
        <f t="shared" ca="1" si="12"/>
        <v>26</v>
      </c>
      <c r="Z63" s="193"/>
      <c r="AA63" s="162"/>
    </row>
    <row r="64" spans="1:27" s="161" customFormat="1" ht="12" x14ac:dyDescent="0.2">
      <c r="A64" s="195" t="s">
        <v>142</v>
      </c>
      <c r="B64" s="169">
        <f ca="1">IF(B62+B63&gt;645,"err",B62+B63)</f>
        <v>154</v>
      </c>
      <c r="C64" s="169">
        <f t="shared" ref="C64:Y64" ca="1" si="13">IF(C62+C63&gt;645,"err",C62+C63)</f>
        <v>184</v>
      </c>
      <c r="D64" s="169">
        <f t="shared" ca="1" si="13"/>
        <v>185</v>
      </c>
      <c r="E64" s="169">
        <f t="shared" ca="1" si="13"/>
        <v>186</v>
      </c>
      <c r="F64" s="169">
        <f t="shared" ca="1" si="13"/>
        <v>184</v>
      </c>
      <c r="G64" s="169">
        <f t="shared" ca="1" si="13"/>
        <v>223</v>
      </c>
      <c r="H64" s="169">
        <f t="shared" ca="1" si="13"/>
        <v>357</v>
      </c>
      <c r="I64" s="169">
        <f t="shared" ca="1" si="13"/>
        <v>319</v>
      </c>
      <c r="J64" s="169">
        <f t="shared" ca="1" si="13"/>
        <v>238</v>
      </c>
      <c r="K64" s="169">
        <f t="shared" ca="1" si="13"/>
        <v>276</v>
      </c>
      <c r="L64" s="169">
        <f t="shared" ca="1" si="13"/>
        <v>286</v>
      </c>
      <c r="M64" s="169">
        <f t="shared" ca="1" si="13"/>
        <v>246</v>
      </c>
      <c r="N64" s="169">
        <f t="shared" ca="1" si="13"/>
        <v>303</v>
      </c>
      <c r="O64" s="169">
        <f t="shared" ca="1" si="13"/>
        <v>306</v>
      </c>
      <c r="P64" s="169">
        <f t="shared" ca="1" si="13"/>
        <v>306</v>
      </c>
      <c r="Q64" s="169">
        <f t="shared" ca="1" si="13"/>
        <v>299</v>
      </c>
      <c r="R64" s="169">
        <f t="shared" ca="1" si="13"/>
        <v>276</v>
      </c>
      <c r="S64" s="169">
        <f t="shared" ca="1" si="13"/>
        <v>296</v>
      </c>
      <c r="T64" s="169">
        <f t="shared" ca="1" si="13"/>
        <v>287</v>
      </c>
      <c r="U64" s="169">
        <f t="shared" ca="1" si="13"/>
        <v>357</v>
      </c>
      <c r="V64" s="169">
        <f t="shared" ca="1" si="13"/>
        <v>307</v>
      </c>
      <c r="W64" s="169">
        <f t="shared" ca="1" si="13"/>
        <v>367</v>
      </c>
      <c r="X64" s="169">
        <f t="shared" ca="1" si="13"/>
        <v>194</v>
      </c>
      <c r="Y64" s="170">
        <f t="shared" ca="1" si="13"/>
        <v>199</v>
      </c>
      <c r="Z64" s="194"/>
      <c r="AA64" s="162"/>
    </row>
    <row r="65" spans="1:27" s="161" customFormat="1" ht="12" x14ac:dyDescent="0.2">
      <c r="A65" s="195" t="s">
        <v>18</v>
      </c>
      <c r="B65" s="169">
        <f ca="1">SUM(B61:B63)</f>
        <v>154</v>
      </c>
      <c r="C65" s="169">
        <f t="shared" ref="C65:Y65" ca="1" si="14">SUM(C61:C63)</f>
        <v>184</v>
      </c>
      <c r="D65" s="169">
        <f t="shared" ca="1" si="14"/>
        <v>185</v>
      </c>
      <c r="E65" s="169">
        <f t="shared" ca="1" si="14"/>
        <v>186</v>
      </c>
      <c r="F65" s="169">
        <f t="shared" ca="1" si="14"/>
        <v>184</v>
      </c>
      <c r="G65" s="169">
        <f t="shared" ca="1" si="14"/>
        <v>223</v>
      </c>
      <c r="H65" s="169">
        <f t="shared" ca="1" si="14"/>
        <v>357</v>
      </c>
      <c r="I65" s="169">
        <f t="shared" ca="1" si="14"/>
        <v>319</v>
      </c>
      <c r="J65" s="169">
        <f t="shared" ca="1" si="14"/>
        <v>238</v>
      </c>
      <c r="K65" s="169">
        <f t="shared" ca="1" si="14"/>
        <v>276</v>
      </c>
      <c r="L65" s="169">
        <f t="shared" ca="1" si="14"/>
        <v>286</v>
      </c>
      <c r="M65" s="169">
        <f t="shared" ca="1" si="14"/>
        <v>246</v>
      </c>
      <c r="N65" s="169">
        <f t="shared" ca="1" si="14"/>
        <v>303</v>
      </c>
      <c r="O65" s="169">
        <f t="shared" ca="1" si="14"/>
        <v>306</v>
      </c>
      <c r="P65" s="169">
        <f t="shared" ca="1" si="14"/>
        <v>306</v>
      </c>
      <c r="Q65" s="169">
        <f t="shared" ca="1" si="14"/>
        <v>299</v>
      </c>
      <c r="R65" s="169">
        <f t="shared" ca="1" si="14"/>
        <v>276</v>
      </c>
      <c r="S65" s="169">
        <f t="shared" ca="1" si="14"/>
        <v>296</v>
      </c>
      <c r="T65" s="169">
        <f t="shared" ca="1" si="14"/>
        <v>287</v>
      </c>
      <c r="U65" s="169">
        <f t="shared" ca="1" si="14"/>
        <v>357</v>
      </c>
      <c r="V65" s="169">
        <f t="shared" ca="1" si="14"/>
        <v>307</v>
      </c>
      <c r="W65" s="169">
        <f t="shared" ca="1" si="14"/>
        <v>367</v>
      </c>
      <c r="X65" s="169">
        <f t="shared" ca="1" si="14"/>
        <v>194</v>
      </c>
      <c r="Y65" s="170">
        <f t="shared" ca="1" si="14"/>
        <v>199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402</v>
      </c>
      <c r="C67" s="169">
        <f t="array" ref="C67">SUM(IF(C$41:C$55 = 0,0,$Z$41:$Z$55-C$41:C$55))-INDEX(Balancing!$R$4:$R$27,C$3)</f>
        <v>467</v>
      </c>
      <c r="D67" s="169">
        <f t="array" ref="D67">SUM(IF(D$41:D$55 = 0,0,$Z$41:$Z$55-D$41:D$55))-INDEX(Balancing!$R$4:$R$27,D$3)</f>
        <v>473</v>
      </c>
      <c r="E67" s="169">
        <f t="array" ref="E67">SUM(IF(E$41:E$55 = 0,0,$Z$41:$Z$55-E$41:E$55))-INDEX(Balancing!$R$4:$R$27,E$3)</f>
        <v>472</v>
      </c>
      <c r="F67" s="169">
        <f t="array" ref="F67">SUM(IF(F$41:F$55 = 0,0,$Z$41:$Z$55-F$41:F$55))-INDEX(Balancing!$R$4:$R$27,F$3)</f>
        <v>436</v>
      </c>
      <c r="G67" s="169">
        <f t="array" ref="G67">SUM(IF(G$41:G$55 = 0,0,$Z$41:$Z$55-G$41:G$55))-INDEX(Balancing!$R$4:$R$27,G$3)</f>
        <v>361</v>
      </c>
      <c r="H67" s="169">
        <f t="array" ref="H67">SUM(IF(H$41:H$55 = 0,0,$Z$41:$Z$55-H$41:H$55))-INDEX(Balancing!$R$4:$R$27,H$3)</f>
        <v>454</v>
      </c>
      <c r="I67" s="169">
        <f t="array" ref="I67">SUM(IF(I$41:I$55 = 0,0,$Z$41:$Z$55-I$41:I$55))-INDEX(Balancing!$R$4:$R$27,I$3)</f>
        <v>451</v>
      </c>
      <c r="J67" s="169">
        <f t="array" ref="J67">SUM(IF(J$41:J$55 = 0,0,$Z$41:$Z$55-J$41:J$55))-INDEX(Balancing!$R$4:$R$27,J$3)</f>
        <v>337</v>
      </c>
      <c r="K67" s="169">
        <f t="array" ref="K67">SUM(IF(K$41:K$55 = 0,0,$Z$41:$Z$55-K$41:K$55))-INDEX(Balancing!$R$4:$R$27,K$3)</f>
        <v>336</v>
      </c>
      <c r="L67" s="169">
        <f t="array" ref="L67">SUM(IF(L$41:L$55 = 0,0,$Z$41:$Z$55-L$41:L$55))-INDEX(Balancing!$R$4:$R$27,L$3)</f>
        <v>337</v>
      </c>
      <c r="M67" s="169">
        <f t="array" ref="M67">SUM(IF(M$41:M$55 = 0,0,$Z$41:$Z$55-M$41:M$55))-INDEX(Balancing!$R$4:$R$27,M$3)</f>
        <v>349</v>
      </c>
      <c r="N67" s="169">
        <v>179</v>
      </c>
      <c r="O67" s="169">
        <f t="array" ref="O67">SUM(IF(O$41:O$55 = 0,0,$Z$41:$Z$55-O$41:O$55))-INDEX(Balancing!$R$4:$R$27,O$3)</f>
        <v>337</v>
      </c>
      <c r="P67" s="169">
        <f t="array" ref="P67">SUM(IF(P$41:P$55 = 0,0,$Z$41:$Z$55-P$41:P$55))-INDEX(Balancing!$R$4:$R$27,P$3)</f>
        <v>336</v>
      </c>
      <c r="Q67" s="169">
        <f t="array" ref="Q67">SUM(IF(Q$41:Q$55 = 0,0,$Z$41:$Z$55-Q$41:Q$55))-INDEX(Balancing!$R$4:$R$27,Q$3)</f>
        <v>334</v>
      </c>
      <c r="R67" s="169">
        <f t="array" ref="R67">SUM(IF(R$41:R$55 = 0,0,$Z$41:$Z$55-R$41:R$55))-INDEX(Balancing!$R$4:$R$27,R$3)</f>
        <v>334</v>
      </c>
      <c r="S67" s="169">
        <f t="array" ref="S67">SUM(IF(S$41:S$55 = 0,0,$Z$41:$Z$55-S$41:S$55))-INDEX(Balancing!$R$4:$R$27,S$3)</f>
        <v>376</v>
      </c>
      <c r="T67" s="169">
        <f t="array" ref="T67">SUM(IF(T$41:T$55 = 0,0,$Z$41:$Z$55-T$41:T$55))-INDEX(Balancing!$R$4:$R$27,T$3)</f>
        <v>348</v>
      </c>
      <c r="U67" s="169">
        <f t="array" ref="U67">SUM(IF(U$41:U$55 = 0,0,$Z$41:$Z$55-U$41:U$55))-INDEX(Balancing!$R$4:$R$27,U$3)</f>
        <v>364</v>
      </c>
      <c r="V67" s="169">
        <f t="array" ref="V67">SUM(IF(V$41:V$55 = 0,0,$Z$41:$Z$55-V$41:V$55))-INDEX(Balancing!$R$4:$R$27,V$3)</f>
        <v>403</v>
      </c>
      <c r="W67" s="169">
        <f t="array" ref="W67">SUM(IF(W$41:W$55 = 0,0,$Z$41:$Z$55-W$41:W$55))-INDEX(Balancing!$R$4:$R$27,W$3)</f>
        <v>546</v>
      </c>
      <c r="X67" s="169">
        <f t="array" ref="X67">SUM(IF(X$41:X$55 = 0,0,$Z$41:$Z$55-X$41:X$55))-INDEX(Balancing!$R$4:$R$27,X$3)</f>
        <v>456</v>
      </c>
      <c r="Y67" s="170">
        <f t="array" ref="Y67">SUM(IF(Y$41:Y$55 = 0,0,$Z$41:$Z$55-Y$41:Y$55))-INDEX(Balancing!$R$4:$R$27,Y$3)</f>
        <v>423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43</v>
      </c>
      <c r="C69" s="171">
        <f t="shared" si="15"/>
        <v>41</v>
      </c>
      <c r="D69" s="171">
        <f t="shared" si="15"/>
        <v>41</v>
      </c>
      <c r="E69" s="171">
        <f t="shared" si="15"/>
        <v>40</v>
      </c>
      <c r="F69" s="171">
        <f t="shared" si="15"/>
        <v>43</v>
      </c>
      <c r="G69" s="171">
        <f t="shared" si="15"/>
        <v>50</v>
      </c>
      <c r="H69" s="171">
        <f t="shared" ref="H69:X69" si="16">IF(H67&lt;0.07*I4,"err",ROUND(I4*0.07,0))</f>
        <v>55</v>
      </c>
      <c r="I69" s="171">
        <f t="shared" si="16"/>
        <v>57</v>
      </c>
      <c r="J69" s="171">
        <f t="shared" si="16"/>
        <v>59</v>
      </c>
      <c r="K69" s="171">
        <f t="shared" si="16"/>
        <v>60</v>
      </c>
      <c r="L69" s="171">
        <f t="shared" si="16"/>
        <v>59</v>
      </c>
      <c r="M69" s="171">
        <f t="shared" si="16"/>
        <v>61</v>
      </c>
      <c r="N69" s="171">
        <f t="shared" si="16"/>
        <v>60</v>
      </c>
      <c r="O69" s="171">
        <f t="shared" si="16"/>
        <v>60</v>
      </c>
      <c r="P69" s="171">
        <f t="shared" si="16"/>
        <v>60</v>
      </c>
      <c r="Q69" s="171">
        <f t="shared" si="16"/>
        <v>58</v>
      </c>
      <c r="R69" s="171">
        <f t="shared" si="16"/>
        <v>56</v>
      </c>
      <c r="S69" s="171">
        <f t="shared" si="16"/>
        <v>59</v>
      </c>
      <c r="T69" s="171">
        <f t="shared" si="16"/>
        <v>62</v>
      </c>
      <c r="U69" s="171">
        <f t="shared" si="16"/>
        <v>57</v>
      </c>
      <c r="V69" s="171">
        <f t="shared" si="16"/>
        <v>51</v>
      </c>
      <c r="W69" s="171">
        <f t="shared" si="16"/>
        <v>45</v>
      </c>
      <c r="X69" s="171">
        <f t="shared" si="16"/>
        <v>43</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150</v>
      </c>
      <c r="C78" s="478">
        <f t="shared" ca="1" si="17"/>
        <v>120</v>
      </c>
      <c r="D78" s="478">
        <f t="shared" ca="1" si="17"/>
        <v>120</v>
      </c>
      <c r="E78" s="478">
        <f t="shared" ca="1" si="17"/>
        <v>120</v>
      </c>
      <c r="F78" s="478">
        <f t="shared" ca="1" si="17"/>
        <v>120</v>
      </c>
      <c r="G78" s="478">
        <f t="shared" ca="1" si="17"/>
        <v>120</v>
      </c>
      <c r="H78" s="478">
        <f t="shared" ca="1" si="17"/>
        <v>70</v>
      </c>
      <c r="I78" s="478">
        <f t="shared" ca="1" si="17"/>
        <v>70</v>
      </c>
      <c r="J78" s="478">
        <f t="shared" ca="1" si="17"/>
        <v>85</v>
      </c>
      <c r="K78" s="478">
        <f t="shared" ca="1" si="17"/>
        <v>95</v>
      </c>
      <c r="L78" s="478">
        <f t="shared" ca="1" si="17"/>
        <v>140</v>
      </c>
      <c r="M78" s="478">
        <f t="shared" ca="1" si="17"/>
        <v>140</v>
      </c>
      <c r="N78" s="478">
        <f t="shared" ca="1" si="17"/>
        <v>140</v>
      </c>
      <c r="O78" s="478">
        <f t="shared" ca="1" si="17"/>
        <v>140</v>
      </c>
      <c r="P78" s="478">
        <f t="shared" ca="1" si="17"/>
        <v>140</v>
      </c>
      <c r="Q78" s="478">
        <f t="shared" ca="1" si="17"/>
        <v>140</v>
      </c>
      <c r="R78" s="478">
        <f t="shared" ca="1" si="17"/>
        <v>140</v>
      </c>
      <c r="S78" s="478">
        <f t="shared" ca="1" si="17"/>
        <v>140</v>
      </c>
      <c r="T78" s="478">
        <f t="shared" ca="1" si="17"/>
        <v>130</v>
      </c>
      <c r="U78" s="478">
        <f t="shared" ca="1" si="17"/>
        <v>60</v>
      </c>
      <c r="V78" s="478">
        <f t="shared" ca="1" si="17"/>
        <v>80</v>
      </c>
      <c r="W78" s="478">
        <f t="shared" ca="1" si="17"/>
        <v>80</v>
      </c>
      <c r="X78" s="478">
        <f t="shared" ca="1" si="17"/>
        <v>150</v>
      </c>
      <c r="Y78" s="478">
        <f t="shared" ca="1" si="17"/>
        <v>100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Deals!AD123</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2790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254511.74071551525</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51</v>
      </c>
      <c r="C89" s="232">
        <f t="shared" si="18"/>
        <v>51</v>
      </c>
      <c r="D89" s="232">
        <f t="shared" si="18"/>
        <v>51</v>
      </c>
      <c r="E89" s="232">
        <f>E56</f>
        <v>51</v>
      </c>
      <c r="F89" s="232">
        <f t="shared" si="18"/>
        <v>51</v>
      </c>
      <c r="G89" s="232">
        <f t="shared" si="18"/>
        <v>50</v>
      </c>
      <c r="H89" s="232">
        <f t="shared" si="18"/>
        <v>51</v>
      </c>
      <c r="I89" s="232">
        <f t="shared" si="18"/>
        <v>57</v>
      </c>
      <c r="J89" s="232">
        <f t="shared" si="18"/>
        <v>57</v>
      </c>
      <c r="K89" s="232">
        <f t="shared" si="18"/>
        <v>55</v>
      </c>
      <c r="L89" s="232">
        <f t="shared" si="18"/>
        <v>55</v>
      </c>
      <c r="M89" s="232">
        <f>M57</f>
        <v>0</v>
      </c>
      <c r="N89" s="232">
        <f t="shared" si="18"/>
        <v>67</v>
      </c>
      <c r="O89" s="232">
        <f t="shared" si="18"/>
        <v>60</v>
      </c>
      <c r="P89" s="232">
        <f t="shared" si="18"/>
        <v>61</v>
      </c>
      <c r="Q89" s="232">
        <f t="shared" si="18"/>
        <v>54</v>
      </c>
      <c r="R89" s="232">
        <f t="shared" si="18"/>
        <v>50</v>
      </c>
      <c r="S89" s="232">
        <f t="shared" si="18"/>
        <v>50</v>
      </c>
      <c r="T89" s="232">
        <f t="shared" si="18"/>
        <v>51</v>
      </c>
      <c r="U89" s="232">
        <f t="shared" si="18"/>
        <v>51</v>
      </c>
      <c r="V89" s="232">
        <f t="shared" si="18"/>
        <v>51</v>
      </c>
      <c r="W89" s="232">
        <f t="shared" si="18"/>
        <v>51</v>
      </c>
      <c r="X89" s="232">
        <f t="shared" si="18"/>
        <v>51</v>
      </c>
      <c r="Y89" s="232">
        <f t="shared" si="18"/>
        <v>51</v>
      </c>
      <c r="Z89" s="261">
        <f t="array" ref="Z89">SUM(B89:Y89*Economics!F$28)</f>
        <v>16055.952640000007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52</v>
      </c>
      <c r="C91" s="210">
        <f t="shared" si="19"/>
        <v>1</v>
      </c>
      <c r="D91" s="210">
        <f t="shared" si="19"/>
        <v>-49</v>
      </c>
      <c r="E91" s="210">
        <f t="shared" si="19"/>
        <v>-49</v>
      </c>
      <c r="F91" s="210">
        <f t="shared" si="19"/>
        <v>-49</v>
      </c>
      <c r="G91" s="210">
        <f t="shared" si="19"/>
        <v>-48</v>
      </c>
      <c r="H91" s="210">
        <f t="shared" si="19"/>
        <v>1</v>
      </c>
      <c r="I91" s="210">
        <f t="shared" si="19"/>
        <v>-5</v>
      </c>
      <c r="J91" s="210">
        <f t="shared" si="19"/>
        <v>-5</v>
      </c>
      <c r="K91" s="210">
        <f t="shared" si="19"/>
        <v>-3</v>
      </c>
      <c r="L91" s="210">
        <f t="shared" si="19"/>
        <v>48</v>
      </c>
      <c r="M91" s="210">
        <f t="shared" si="19"/>
        <v>103</v>
      </c>
      <c r="N91" s="210">
        <f t="shared" si="19"/>
        <v>36</v>
      </c>
      <c r="O91" s="210">
        <f t="shared" si="19"/>
        <v>43</v>
      </c>
      <c r="P91" s="210">
        <f t="shared" si="19"/>
        <v>42</v>
      </c>
      <c r="Q91" s="210">
        <f t="shared" si="19"/>
        <v>49</v>
      </c>
      <c r="R91" s="210">
        <f t="shared" si="19"/>
        <v>53</v>
      </c>
      <c r="S91" s="210">
        <f t="shared" si="19"/>
        <v>53</v>
      </c>
      <c r="T91" s="210">
        <f t="shared" si="19"/>
        <v>52</v>
      </c>
      <c r="U91" s="210">
        <f t="shared" si="19"/>
        <v>52</v>
      </c>
      <c r="V91" s="210">
        <f t="shared" si="19"/>
        <v>1</v>
      </c>
      <c r="W91" s="210">
        <f t="shared" si="19"/>
        <v>1</v>
      </c>
      <c r="X91" s="210">
        <f t="shared" si="19"/>
        <v>1</v>
      </c>
      <c r="Y91" s="210">
        <f t="shared" si="19"/>
        <v>1</v>
      </c>
      <c r="Z91" s="264">
        <f>Z89-Z90</f>
        <v>-4981.5292799999879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132</v>
      </c>
      <c r="C95" s="181">
        <f t="shared" si="22"/>
        <v>132</v>
      </c>
      <c r="D95" s="181">
        <f t="shared" si="22"/>
        <v>132</v>
      </c>
      <c r="E95" s="181">
        <f>E53</f>
        <v>132</v>
      </c>
      <c r="F95" s="181">
        <f t="shared" si="22"/>
        <v>132</v>
      </c>
      <c r="G95" s="181">
        <f t="shared" si="22"/>
        <v>132</v>
      </c>
      <c r="H95" s="181">
        <f t="shared" si="22"/>
        <v>132</v>
      </c>
      <c r="I95" s="181">
        <f t="shared" si="22"/>
        <v>132</v>
      </c>
      <c r="J95" s="181">
        <f t="shared" si="22"/>
        <v>132</v>
      </c>
      <c r="K95" s="181">
        <f t="shared" si="22"/>
        <v>132</v>
      </c>
      <c r="L95" s="181">
        <f t="shared" si="22"/>
        <v>132</v>
      </c>
      <c r="M95" s="181">
        <f t="shared" si="22"/>
        <v>132</v>
      </c>
      <c r="N95" s="181">
        <f t="shared" si="22"/>
        <v>132</v>
      </c>
      <c r="O95" s="181">
        <f t="shared" si="22"/>
        <v>132</v>
      </c>
      <c r="P95" s="181">
        <f t="shared" si="22"/>
        <v>132</v>
      </c>
      <c r="Q95" s="181">
        <f t="shared" si="22"/>
        <v>132</v>
      </c>
      <c r="R95" s="181">
        <f t="shared" si="22"/>
        <v>132</v>
      </c>
      <c r="S95" s="181">
        <f t="shared" si="22"/>
        <v>132</v>
      </c>
      <c r="T95" s="181">
        <f t="shared" si="22"/>
        <v>132</v>
      </c>
      <c r="U95" s="181">
        <f t="shared" si="22"/>
        <v>132</v>
      </c>
      <c r="V95" s="181">
        <f t="shared" si="22"/>
        <v>132</v>
      </c>
      <c r="W95" s="181">
        <f t="shared" si="22"/>
        <v>132</v>
      </c>
      <c r="X95" s="181">
        <f t="shared" si="22"/>
        <v>132</v>
      </c>
      <c r="Y95" s="181">
        <f t="shared" si="22"/>
        <v>132</v>
      </c>
      <c r="Z95" s="263">
        <f t="array" ref="Z95">SUM(B95:Y95*Economics!F$30)</f>
        <v>19312.128000000001</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68</v>
      </c>
      <c r="C97" s="210">
        <f t="shared" si="23"/>
        <v>68</v>
      </c>
      <c r="D97" s="210">
        <f t="shared" si="23"/>
        <v>68</v>
      </c>
      <c r="E97" s="210">
        <f t="shared" si="23"/>
        <v>68</v>
      </c>
      <c r="F97" s="210">
        <f t="shared" si="23"/>
        <v>68</v>
      </c>
      <c r="G97" s="210">
        <f t="shared" si="23"/>
        <v>68</v>
      </c>
      <c r="H97" s="210">
        <f t="shared" si="23"/>
        <v>68</v>
      </c>
      <c r="I97" s="210">
        <f t="shared" si="23"/>
        <v>68</v>
      </c>
      <c r="J97" s="210">
        <f t="shared" si="23"/>
        <v>68</v>
      </c>
      <c r="K97" s="210">
        <f t="shared" si="23"/>
        <v>68</v>
      </c>
      <c r="L97" s="210">
        <f t="shared" si="23"/>
        <v>68</v>
      </c>
      <c r="M97" s="210">
        <f t="shared" si="23"/>
        <v>68</v>
      </c>
      <c r="N97" s="210">
        <f t="shared" si="23"/>
        <v>68</v>
      </c>
      <c r="O97" s="210">
        <f t="shared" si="23"/>
        <v>68</v>
      </c>
      <c r="P97" s="210">
        <f t="shared" si="23"/>
        <v>68</v>
      </c>
      <c r="Q97" s="210">
        <f t="shared" si="23"/>
        <v>68</v>
      </c>
      <c r="R97" s="210">
        <f t="shared" si="23"/>
        <v>68</v>
      </c>
      <c r="S97" s="210">
        <f t="shared" si="23"/>
        <v>68</v>
      </c>
      <c r="T97" s="210">
        <f t="shared" si="23"/>
        <v>68</v>
      </c>
      <c r="U97" s="210">
        <f t="shared" si="23"/>
        <v>68</v>
      </c>
      <c r="V97" s="210">
        <f t="shared" si="23"/>
        <v>68</v>
      </c>
      <c r="W97" s="210">
        <f t="shared" si="23"/>
        <v>68</v>
      </c>
      <c r="X97" s="210">
        <f t="shared" si="23"/>
        <v>68</v>
      </c>
      <c r="Y97" s="210">
        <f t="shared" si="23"/>
        <v>68</v>
      </c>
      <c r="Z97" s="264">
        <f>Z95-Z96</f>
        <v>-9948.6720000000096</v>
      </c>
    </row>
    <row r="98" spans="1:29" x14ac:dyDescent="0.2">
      <c r="A98" s="183" t="str">
        <f>Economics!A31</f>
        <v>PV Unit 2</v>
      </c>
      <c r="B98" s="181">
        <f t="shared" ref="B98:Y98" si="24">B54</f>
        <v>132</v>
      </c>
      <c r="C98" s="181">
        <f t="shared" si="24"/>
        <v>132</v>
      </c>
      <c r="D98" s="181">
        <f t="shared" si="24"/>
        <v>132</v>
      </c>
      <c r="E98" s="181">
        <f>E54</f>
        <v>132</v>
      </c>
      <c r="F98" s="181">
        <f t="shared" si="24"/>
        <v>132</v>
      </c>
      <c r="G98" s="181">
        <f t="shared" si="24"/>
        <v>132</v>
      </c>
      <c r="H98" s="181">
        <f t="shared" si="24"/>
        <v>132</v>
      </c>
      <c r="I98" s="181">
        <f t="shared" si="24"/>
        <v>132</v>
      </c>
      <c r="J98" s="181">
        <f t="shared" si="24"/>
        <v>132</v>
      </c>
      <c r="K98" s="181">
        <f t="shared" si="24"/>
        <v>132</v>
      </c>
      <c r="L98" s="181">
        <f t="shared" si="24"/>
        <v>132</v>
      </c>
      <c r="M98" s="181">
        <f t="shared" si="24"/>
        <v>132</v>
      </c>
      <c r="N98" s="181">
        <f t="shared" si="24"/>
        <v>132</v>
      </c>
      <c r="O98" s="181">
        <f t="shared" si="24"/>
        <v>132</v>
      </c>
      <c r="P98" s="181">
        <f t="shared" si="24"/>
        <v>132</v>
      </c>
      <c r="Q98" s="181">
        <f t="shared" si="24"/>
        <v>132</v>
      </c>
      <c r="R98" s="181">
        <f t="shared" si="24"/>
        <v>132</v>
      </c>
      <c r="S98" s="181">
        <f t="shared" si="24"/>
        <v>132</v>
      </c>
      <c r="T98" s="181">
        <f t="shared" si="24"/>
        <v>132</v>
      </c>
      <c r="U98" s="181">
        <f t="shared" si="24"/>
        <v>132</v>
      </c>
      <c r="V98" s="181">
        <f t="shared" si="24"/>
        <v>132</v>
      </c>
      <c r="W98" s="181">
        <f t="shared" si="24"/>
        <v>132</v>
      </c>
      <c r="X98" s="181">
        <f t="shared" si="24"/>
        <v>132</v>
      </c>
      <c r="Y98" s="181">
        <f t="shared" si="24"/>
        <v>132</v>
      </c>
      <c r="Z98" s="263">
        <f t="array" ref="Z98">SUM(B98:Y98*Economics!F$31)</f>
        <v>19312.128000000001</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62</v>
      </c>
      <c r="C100" s="210">
        <f t="shared" si="25"/>
        <v>62</v>
      </c>
      <c r="D100" s="210">
        <f t="shared" si="25"/>
        <v>62</v>
      </c>
      <c r="E100" s="210">
        <f t="shared" si="25"/>
        <v>62</v>
      </c>
      <c r="F100" s="210">
        <f t="shared" si="25"/>
        <v>63</v>
      </c>
      <c r="G100" s="210">
        <f t="shared" si="25"/>
        <v>63</v>
      </c>
      <c r="H100" s="210">
        <f t="shared" si="25"/>
        <v>63</v>
      </c>
      <c r="I100" s="210">
        <f t="shared" si="25"/>
        <v>63</v>
      </c>
      <c r="J100" s="210">
        <f t="shared" si="25"/>
        <v>63</v>
      </c>
      <c r="K100" s="210">
        <f t="shared" si="25"/>
        <v>63</v>
      </c>
      <c r="L100" s="210">
        <f t="shared" si="25"/>
        <v>63</v>
      </c>
      <c r="M100" s="210">
        <f t="shared" si="25"/>
        <v>63</v>
      </c>
      <c r="N100" s="210">
        <f t="shared" si="25"/>
        <v>63</v>
      </c>
      <c r="O100" s="210">
        <f t="shared" si="25"/>
        <v>63</v>
      </c>
      <c r="P100" s="210">
        <f t="shared" si="25"/>
        <v>63</v>
      </c>
      <c r="Q100" s="210">
        <f t="shared" si="25"/>
        <v>63</v>
      </c>
      <c r="R100" s="210">
        <f t="shared" si="25"/>
        <v>63</v>
      </c>
      <c r="S100" s="210">
        <f t="shared" si="25"/>
        <v>63</v>
      </c>
      <c r="T100" s="210">
        <f t="shared" si="25"/>
        <v>63</v>
      </c>
      <c r="U100" s="210">
        <f t="shared" si="25"/>
        <v>63</v>
      </c>
      <c r="V100" s="210">
        <f t="shared" si="25"/>
        <v>63</v>
      </c>
      <c r="W100" s="210">
        <f t="shared" si="25"/>
        <v>63</v>
      </c>
      <c r="X100" s="210">
        <f t="shared" si="25"/>
        <v>63</v>
      </c>
      <c r="Y100" s="210">
        <f t="shared" si="25"/>
        <v>63</v>
      </c>
      <c r="Z100" s="264">
        <f>Z98-Z99</f>
        <v>-9192.7680000000073</v>
      </c>
    </row>
    <row r="101" spans="1:29" x14ac:dyDescent="0.2">
      <c r="A101" s="183" t="str">
        <f>Economics!A32</f>
        <v>PV Unit 3</v>
      </c>
      <c r="B101" s="181">
        <f t="shared" ref="B101:Y101" si="26">B55</f>
        <v>132</v>
      </c>
      <c r="C101" s="181">
        <f t="shared" si="26"/>
        <v>132</v>
      </c>
      <c r="D101" s="181">
        <f t="shared" si="26"/>
        <v>132</v>
      </c>
      <c r="E101" s="181">
        <f>E55</f>
        <v>132</v>
      </c>
      <c r="F101" s="181">
        <f t="shared" si="26"/>
        <v>132</v>
      </c>
      <c r="G101" s="181">
        <f t="shared" si="26"/>
        <v>132</v>
      </c>
      <c r="H101" s="181">
        <f t="shared" si="26"/>
        <v>132</v>
      </c>
      <c r="I101" s="181">
        <f t="shared" si="26"/>
        <v>133</v>
      </c>
      <c r="J101" s="181">
        <f t="shared" si="26"/>
        <v>132</v>
      </c>
      <c r="K101" s="181">
        <f t="shared" si="26"/>
        <v>132</v>
      </c>
      <c r="L101" s="181">
        <f t="shared" si="26"/>
        <v>132</v>
      </c>
      <c r="M101" s="181">
        <f t="shared" si="26"/>
        <v>132</v>
      </c>
      <c r="N101" s="181">
        <f t="shared" si="26"/>
        <v>132</v>
      </c>
      <c r="O101" s="181">
        <f t="shared" si="26"/>
        <v>132</v>
      </c>
      <c r="P101" s="181">
        <f t="shared" si="26"/>
        <v>131</v>
      </c>
      <c r="Q101" s="181">
        <f t="shared" si="26"/>
        <v>131</v>
      </c>
      <c r="R101" s="181">
        <f t="shared" si="26"/>
        <v>132</v>
      </c>
      <c r="S101" s="181">
        <f t="shared" si="26"/>
        <v>132</v>
      </c>
      <c r="T101" s="181">
        <f t="shared" si="26"/>
        <v>132</v>
      </c>
      <c r="U101" s="181">
        <f t="shared" si="26"/>
        <v>132</v>
      </c>
      <c r="V101" s="181">
        <f t="shared" si="26"/>
        <v>132</v>
      </c>
      <c r="W101" s="181">
        <f t="shared" si="26"/>
        <v>132</v>
      </c>
      <c r="X101" s="181">
        <f t="shared" si="26"/>
        <v>132</v>
      </c>
      <c r="Y101" s="181">
        <f t="shared" si="26"/>
        <v>132</v>
      </c>
      <c r="Z101" s="263">
        <f t="array" ref="Z101">SUM(B101:Y101*Economics!F$32)</f>
        <v>19306.031999999999</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68</v>
      </c>
      <c r="C103" s="210">
        <f t="shared" si="27"/>
        <v>68</v>
      </c>
      <c r="D103" s="210">
        <f t="shared" si="27"/>
        <v>68</v>
      </c>
      <c r="E103" s="210">
        <f t="shared" si="27"/>
        <v>68</v>
      </c>
      <c r="F103" s="210">
        <f t="shared" si="27"/>
        <v>68</v>
      </c>
      <c r="G103" s="210">
        <f t="shared" si="27"/>
        <v>68</v>
      </c>
      <c r="H103" s="210">
        <f t="shared" si="27"/>
        <v>68</v>
      </c>
      <c r="I103" s="210">
        <f t="shared" si="27"/>
        <v>67</v>
      </c>
      <c r="J103" s="210">
        <f t="shared" si="27"/>
        <v>68</v>
      </c>
      <c r="K103" s="210">
        <f t="shared" si="27"/>
        <v>68</v>
      </c>
      <c r="L103" s="210">
        <f t="shared" si="27"/>
        <v>68</v>
      </c>
      <c r="M103" s="210">
        <f t="shared" si="27"/>
        <v>68</v>
      </c>
      <c r="N103" s="210">
        <f t="shared" si="27"/>
        <v>68</v>
      </c>
      <c r="O103" s="210">
        <f t="shared" si="27"/>
        <v>68</v>
      </c>
      <c r="P103" s="210">
        <f t="shared" si="27"/>
        <v>69</v>
      </c>
      <c r="Q103" s="210">
        <f t="shared" si="27"/>
        <v>69</v>
      </c>
      <c r="R103" s="210">
        <f t="shared" si="27"/>
        <v>68</v>
      </c>
      <c r="S103" s="210">
        <f t="shared" si="27"/>
        <v>68</v>
      </c>
      <c r="T103" s="210">
        <f t="shared" si="27"/>
        <v>68</v>
      </c>
      <c r="U103" s="210">
        <f t="shared" si="27"/>
        <v>68</v>
      </c>
      <c r="V103" s="210">
        <f t="shared" si="27"/>
        <v>68</v>
      </c>
      <c r="W103" s="210">
        <f t="shared" si="27"/>
        <v>68</v>
      </c>
      <c r="X103" s="210">
        <f t="shared" si="27"/>
        <v>68</v>
      </c>
      <c r="Y103" s="210">
        <f t="shared" si="27"/>
        <v>68</v>
      </c>
      <c r="Z103" s="264">
        <f>Z101-Z102</f>
        <v>-9954.7680000000109</v>
      </c>
    </row>
    <row r="104" spans="1:29" x14ac:dyDescent="0.2">
      <c r="A104" s="183" t="str">
        <f>Economics!A34</f>
        <v>Newman 1</v>
      </c>
      <c r="B104" s="181">
        <v>31</v>
      </c>
      <c r="C104" s="181">
        <f t="shared" ref="C104:R104" si="28">C41</f>
        <v>31</v>
      </c>
      <c r="D104" s="181">
        <f t="shared" si="28"/>
        <v>31</v>
      </c>
      <c r="E104" s="181">
        <f>E41</f>
        <v>31</v>
      </c>
      <c r="F104" s="181">
        <f t="shared" si="28"/>
        <v>31</v>
      </c>
      <c r="G104" s="181">
        <f t="shared" si="28"/>
        <v>45</v>
      </c>
      <c r="H104" s="181">
        <f t="shared" si="28"/>
        <v>46</v>
      </c>
      <c r="I104" s="181">
        <f>I41</f>
        <v>46</v>
      </c>
      <c r="J104" s="181">
        <f t="shared" si="28"/>
        <v>79</v>
      </c>
      <c r="K104" s="181">
        <f t="shared" si="28"/>
        <v>79</v>
      </c>
      <c r="L104" s="181">
        <f t="shared" si="28"/>
        <v>79</v>
      </c>
      <c r="M104" s="181">
        <f t="shared" si="28"/>
        <v>79</v>
      </c>
      <c r="N104" s="181">
        <f t="shared" si="28"/>
        <v>79</v>
      </c>
      <c r="O104" s="181">
        <f t="shared" si="28"/>
        <v>80</v>
      </c>
      <c r="P104" s="181">
        <f t="shared" si="28"/>
        <v>81</v>
      </c>
      <c r="Q104" s="181">
        <f t="shared" si="28"/>
        <v>77</v>
      </c>
      <c r="R104" s="181">
        <f t="shared" si="28"/>
        <v>78</v>
      </c>
      <c r="S104" s="181">
        <v>34</v>
      </c>
      <c r="T104" s="181">
        <v>34</v>
      </c>
      <c r="U104" s="181">
        <v>34</v>
      </c>
      <c r="V104" s="181">
        <v>34</v>
      </c>
      <c r="W104" s="181">
        <f>W41</f>
        <v>37</v>
      </c>
      <c r="X104" s="181">
        <f>X41</f>
        <v>50</v>
      </c>
      <c r="Y104" s="181">
        <f>Y41</f>
        <v>50</v>
      </c>
      <c r="Z104" s="223">
        <f>SUM(B104:Y104)</f>
        <v>1276</v>
      </c>
      <c r="AA104" s="322" t="s">
        <v>167</v>
      </c>
    </row>
    <row r="105" spans="1:29" x14ac:dyDescent="0.2">
      <c r="A105" s="185">
        <f>Economics!$I34</f>
        <v>1.96</v>
      </c>
      <c r="B105" s="189">
        <f t="shared" ref="B105:Y105" ca="1" si="29">IndGencost(B104,OFFSET(HeatRateStart,1,MATCH($A104,HeatRateNames,0)-1,250,1),$A105)</f>
        <v>23.547401890555044</v>
      </c>
      <c r="C105" s="189">
        <f t="shared" ca="1" si="29"/>
        <v>23.547401890555044</v>
      </c>
      <c r="D105" s="189">
        <f t="shared" ca="1" si="29"/>
        <v>23.547401890555044</v>
      </c>
      <c r="E105" s="189">
        <f ca="1">IndGencost(E104,OFFSET(HeatRateStart,1,MATCH($A104,HeatRateNames,0)-1,250,1),$A105)</f>
        <v>23.547401890555044</v>
      </c>
      <c r="F105" s="189">
        <f t="shared" ca="1" si="29"/>
        <v>23.547401890555044</v>
      </c>
      <c r="G105" s="189">
        <f t="shared" ca="1" si="29"/>
        <v>22.76277622080379</v>
      </c>
      <c r="H105" s="189">
        <f t="shared" ca="1" si="29"/>
        <v>22.726917972762891</v>
      </c>
      <c r="I105" s="189">
        <f t="shared" ca="1" si="29"/>
        <v>22.726917972762891</v>
      </c>
      <c r="J105" s="189">
        <f t="shared" ca="1" si="29"/>
        <v>22.136106208044485</v>
      </c>
      <c r="K105" s="189">
        <f t="shared" ca="1" si="29"/>
        <v>22.136106208044485</v>
      </c>
      <c r="L105" s="189">
        <f t="shared" ca="1" si="29"/>
        <v>22.136106208044485</v>
      </c>
      <c r="M105" s="189">
        <f t="shared" ca="1" si="29"/>
        <v>22.136106208044485</v>
      </c>
      <c r="N105" s="189">
        <f t="shared" ca="1" si="29"/>
        <v>22.136106208044485</v>
      </c>
      <c r="O105" s="189">
        <f t="shared" ca="1" si="29"/>
        <v>22.128302430677412</v>
      </c>
      <c r="P105" s="189">
        <f t="shared" ca="1" si="29"/>
        <v>22.120836040408641</v>
      </c>
      <c r="Q105" s="189">
        <f t="shared" ca="1" si="29"/>
        <v>22.152778503881059</v>
      </c>
      <c r="R105" s="189">
        <f t="shared" ca="1" si="29"/>
        <v>22.144260348936715</v>
      </c>
      <c r="S105" s="189">
        <f t="shared" ca="1" si="29"/>
        <v>23.319183465619929</v>
      </c>
      <c r="T105" s="189">
        <f t="shared" ca="1" si="29"/>
        <v>23.319183465619929</v>
      </c>
      <c r="U105" s="189">
        <f t="shared" ca="1" si="29"/>
        <v>23.319183465619929</v>
      </c>
      <c r="V105" s="189">
        <f t="shared" ca="1" si="29"/>
        <v>23.319183465619929</v>
      </c>
      <c r="W105" s="189">
        <f t="shared" ca="1" si="29"/>
        <v>23.130824439378429</v>
      </c>
      <c r="X105" s="189">
        <f t="shared" ca="1" si="29"/>
        <v>22.600172439861296</v>
      </c>
      <c r="Y105" s="189">
        <f t="shared" ca="1" si="29"/>
        <v>22.600172439861296</v>
      </c>
      <c r="Z105" s="263">
        <f t="array" aca="1" ref="Z105" ca="1">SUM(B104:Y104*B105:Y105)</f>
        <v>28791.145493954595</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8.6997236101804987E-2</v>
      </c>
      <c r="D108" s="188">
        <f t="shared" ca="1" si="31"/>
        <v>8.6997236101804987E-2</v>
      </c>
      <c r="E108" s="188">
        <f t="shared" ca="1" si="31"/>
        <v>8.6997236101804987E-2</v>
      </c>
      <c r="F108" s="188">
        <f t="shared" ca="1" si="31"/>
        <v>8.6997236101804987E-2</v>
      </c>
      <c r="G108" s="188">
        <f t="shared" ca="1" si="31"/>
        <v>0.87162290585305868</v>
      </c>
      <c r="H108" s="188">
        <f t="shared" ca="1" si="31"/>
        <v>0.90748115389395778</v>
      </c>
      <c r="I108" s="188">
        <f t="shared" ca="1" si="31"/>
        <v>0.90748115389395778</v>
      </c>
      <c r="J108" s="188">
        <f t="shared" ca="1" si="31"/>
        <v>1.4982929186123641</v>
      </c>
      <c r="K108" s="188">
        <f t="shared" ca="1" si="31"/>
        <v>1.4982929186123641</v>
      </c>
      <c r="L108" s="188">
        <f t="shared" ca="1" si="31"/>
        <v>1.4982929186123641</v>
      </c>
      <c r="M108" s="188">
        <f t="shared" ca="1" si="31"/>
        <v>1.4982929186123641</v>
      </c>
      <c r="N108" s="188">
        <f t="shared" ca="1" si="31"/>
        <v>1.4982929186123641</v>
      </c>
      <c r="O108" s="188">
        <f t="shared" ca="1" si="31"/>
        <v>1.5060966959794371</v>
      </c>
      <c r="P108" s="188">
        <f t="shared" ca="1" si="31"/>
        <v>1.5135630862482081</v>
      </c>
      <c r="Q108" s="188">
        <f t="shared" ca="1" si="31"/>
        <v>1.4816206227757895</v>
      </c>
      <c r="R108" s="188">
        <f t="shared" ca="1" si="31"/>
        <v>1.4901387777201336</v>
      </c>
      <c r="S108" s="188">
        <f t="shared" ca="1" si="31"/>
        <v>0.31521566103691967</v>
      </c>
      <c r="T108" s="188">
        <f t="shared" ca="1" si="31"/>
        <v>0.31521566103691967</v>
      </c>
      <c r="U108" s="188">
        <f t="shared" ca="1" si="31"/>
        <v>0.31521566103691967</v>
      </c>
      <c r="V108" s="188">
        <f t="shared" ca="1" si="31"/>
        <v>0.31521566103691967</v>
      </c>
      <c r="W108" s="188">
        <f t="shared" ca="1" si="31"/>
        <v>0.50357468727841947</v>
      </c>
      <c r="X108" s="188">
        <f t="shared" ca="1" si="31"/>
        <v>1.0342266867955523</v>
      </c>
      <c r="Y108" s="188">
        <f t="shared" ca="1" si="31"/>
        <v>1.0342266867955523</v>
      </c>
      <c r="Z108" s="264">
        <f ca="1">Z105-Z107</f>
        <v>11774.378122761667</v>
      </c>
    </row>
    <row r="109" spans="1:29" x14ac:dyDescent="0.2">
      <c r="A109" s="183" t="str">
        <f>Economics!A35</f>
        <v>Newman 2</v>
      </c>
      <c r="B109" s="181">
        <f>B42</f>
        <v>44</v>
      </c>
      <c r="C109" s="181">
        <f t="shared" ref="C109:Y109" si="32">C42</f>
        <v>37</v>
      </c>
      <c r="D109" s="181">
        <f t="shared" si="32"/>
        <v>40</v>
      </c>
      <c r="E109" s="181">
        <f>E42</f>
        <v>38</v>
      </c>
      <c r="F109" s="181">
        <f t="shared" si="32"/>
        <v>43</v>
      </c>
      <c r="G109" s="181">
        <f t="shared" si="32"/>
        <v>73</v>
      </c>
      <c r="H109" s="181">
        <f t="shared" si="32"/>
        <v>46</v>
      </c>
      <c r="I109" s="181">
        <f>I42</f>
        <v>45</v>
      </c>
      <c r="J109" s="181">
        <f t="shared" si="32"/>
        <v>76</v>
      </c>
      <c r="K109" s="181">
        <f t="shared" si="32"/>
        <v>73</v>
      </c>
      <c r="L109" s="181">
        <f t="shared" si="32"/>
        <v>72</v>
      </c>
      <c r="M109" s="181">
        <f t="shared" si="32"/>
        <v>68</v>
      </c>
      <c r="N109" s="181">
        <f t="shared" si="32"/>
        <v>76</v>
      </c>
      <c r="O109" s="181">
        <f t="shared" si="32"/>
        <v>72</v>
      </c>
      <c r="P109" s="181">
        <f t="shared" si="32"/>
        <v>75</v>
      </c>
      <c r="Q109" s="181">
        <f t="shared" si="32"/>
        <v>76</v>
      </c>
      <c r="R109" s="181">
        <f t="shared" si="32"/>
        <v>75</v>
      </c>
      <c r="S109" s="181">
        <f t="shared" si="32"/>
        <v>61</v>
      </c>
      <c r="T109" s="181">
        <f t="shared" si="32"/>
        <v>62</v>
      </c>
      <c r="U109" s="181">
        <f t="shared" si="32"/>
        <v>65</v>
      </c>
      <c r="V109" s="181">
        <f t="shared" si="32"/>
        <v>37</v>
      </c>
      <c r="W109" s="181">
        <f t="shared" si="32"/>
        <v>37</v>
      </c>
      <c r="X109" s="181">
        <f t="shared" si="32"/>
        <v>48</v>
      </c>
      <c r="Y109" s="181">
        <f t="shared" si="32"/>
        <v>45</v>
      </c>
      <c r="Z109" s="223">
        <f>SUM(B109:Y109)</f>
        <v>1384</v>
      </c>
      <c r="AA109" s="322" t="s">
        <v>171</v>
      </c>
    </row>
    <row r="110" spans="1:29" x14ac:dyDescent="0.2">
      <c r="A110" s="185">
        <f>Economics!$I35</f>
        <v>1.96</v>
      </c>
      <c r="B110" s="189">
        <f t="shared" ref="B110:Y110" ca="1" si="33">IndGencost(B109,OFFSET(HeatRateStart,1,MATCH($A109,HeatRateNames,0)-1,250,1),$A110)</f>
        <v>20.827708769000662</v>
      </c>
      <c r="C110" s="189">
        <f t="shared" ca="1" si="33"/>
        <v>21.160356411838535</v>
      </c>
      <c r="D110" s="189">
        <f t="shared" ca="1" si="33"/>
        <v>21.000420408725741</v>
      </c>
      <c r="E110" s="189">
        <f ca="1">IndGencost(E109,OFFSET(HeatRateStart,1,MATCH($A109,HeatRateNames,0)-1,250,1),$A110)</f>
        <v>21.103691779156737</v>
      </c>
      <c r="F110" s="189">
        <f t="shared" ca="1" si="33"/>
        <v>20.867149522410994</v>
      </c>
      <c r="G110" s="189">
        <f t="shared" ca="1" si="33"/>
        <v>20.277776449455629</v>
      </c>
      <c r="H110" s="189">
        <f t="shared" ca="1" si="33"/>
        <v>20.755326664825112</v>
      </c>
      <c r="I110" s="189">
        <f t="shared" ca="1" si="33"/>
        <v>20.790482626862001</v>
      </c>
      <c r="J110" s="189">
        <f t="shared" ca="1" si="33"/>
        <v>20.257962078485992</v>
      </c>
      <c r="K110" s="189">
        <f t="shared" ca="1" si="33"/>
        <v>20.277776449455629</v>
      </c>
      <c r="L110" s="189">
        <f t="shared" ca="1" si="33"/>
        <v>20.285325283696917</v>
      </c>
      <c r="M110" s="189">
        <f t="shared" ca="1" si="33"/>
        <v>20.320796160204274</v>
      </c>
      <c r="N110" s="189">
        <f t="shared" ca="1" si="33"/>
        <v>20.257962078485992</v>
      </c>
      <c r="O110" s="189">
        <f t="shared" ca="1" si="33"/>
        <v>20.285325283696917</v>
      </c>
      <c r="P110" s="189">
        <f t="shared" ca="1" si="33"/>
        <v>20.264113727728525</v>
      </c>
      <c r="Q110" s="189">
        <f t="shared" ca="1" si="33"/>
        <v>20.257962078485992</v>
      </c>
      <c r="R110" s="189">
        <f t="shared" ca="1" si="33"/>
        <v>20.264113727728525</v>
      </c>
      <c r="S110" s="189">
        <f t="shared" ca="1" si="33"/>
        <v>20.407176593900903</v>
      </c>
      <c r="T110" s="189">
        <f t="shared" ca="1" si="33"/>
        <v>20.392637042057899</v>
      </c>
      <c r="U110" s="189">
        <f t="shared" ca="1" si="33"/>
        <v>20.353620396137238</v>
      </c>
      <c r="V110" s="189">
        <f t="shared" ca="1" si="33"/>
        <v>21.160356411838535</v>
      </c>
      <c r="W110" s="189">
        <f t="shared" ca="1" si="33"/>
        <v>21.160356411838535</v>
      </c>
      <c r="X110" s="189">
        <f t="shared" ca="1" si="33"/>
        <v>20.690707736031218</v>
      </c>
      <c r="Y110" s="189">
        <f t="shared" ca="1" si="33"/>
        <v>20.790482626862001</v>
      </c>
      <c r="Z110" s="263">
        <f t="array" aca="1" ref="Z110" ca="1">SUM(B109:Y109*B110:Y110)</f>
        <v>28377.561064305119</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0.76348094154564805</v>
      </c>
      <c r="C113" s="188">
        <f t="shared" ca="1" si="35"/>
        <v>0.43083329870777476</v>
      </c>
      <c r="D113" s="188">
        <f t="shared" ca="1" si="35"/>
        <v>0.59076930182056842</v>
      </c>
      <c r="E113" s="188">
        <f t="shared" ca="1" si="35"/>
        <v>0.48749793138957287</v>
      </c>
      <c r="F113" s="188">
        <f t="shared" ca="1" si="35"/>
        <v>0.72404018813531579</v>
      </c>
      <c r="G113" s="188">
        <f t="shared" ca="1" si="35"/>
        <v>1.3134132610906804</v>
      </c>
      <c r="H113" s="188">
        <f t="shared" ca="1" si="35"/>
        <v>0.8358630457211973</v>
      </c>
      <c r="I113" s="188">
        <f t="shared" ca="1" si="35"/>
        <v>0.80070708368430843</v>
      </c>
      <c r="J113" s="188">
        <f t="shared" ca="1" si="35"/>
        <v>1.3332276320603178</v>
      </c>
      <c r="K113" s="188">
        <f t="shared" ca="1" si="35"/>
        <v>1.3134132610906804</v>
      </c>
      <c r="L113" s="188">
        <f t="shared" ca="1" si="35"/>
        <v>1.3058644268493929</v>
      </c>
      <c r="M113" s="188">
        <f t="shared" ca="1" si="35"/>
        <v>1.2703935503420354</v>
      </c>
      <c r="N113" s="188">
        <f t="shared" ca="1" si="35"/>
        <v>1.3332276320603178</v>
      </c>
      <c r="O113" s="188">
        <f t="shared" ca="1" si="35"/>
        <v>1.3058644268493929</v>
      </c>
      <c r="P113" s="188">
        <f t="shared" ca="1" si="35"/>
        <v>1.3270759828177852</v>
      </c>
      <c r="Q113" s="188">
        <f t="shared" ca="1" si="35"/>
        <v>1.3332276320603178</v>
      </c>
      <c r="R113" s="188">
        <f t="shared" ca="1" si="35"/>
        <v>1.3270759828177852</v>
      </c>
      <c r="S113" s="188">
        <f t="shared" ca="1" si="35"/>
        <v>1.1840131166454064</v>
      </c>
      <c r="T113" s="188">
        <f t="shared" ca="1" si="35"/>
        <v>1.1985526684884107</v>
      </c>
      <c r="U113" s="188">
        <f t="shared" ca="1" si="35"/>
        <v>1.2375693144090718</v>
      </c>
      <c r="V113" s="188">
        <f t="shared" ca="1" si="35"/>
        <v>0.43083329870777476</v>
      </c>
      <c r="W113" s="188">
        <f t="shared" ca="1" si="35"/>
        <v>0.43083329870777476</v>
      </c>
      <c r="X113" s="188">
        <f t="shared" ca="1" si="35"/>
        <v>0.90048197451509182</v>
      </c>
      <c r="Y113" s="188">
        <f t="shared" ca="1" si="35"/>
        <v>0.80070708368430843</v>
      </c>
      <c r="Z113" s="264">
        <f ca="1">Z110-Z112</f>
        <v>12313.715919658654</v>
      </c>
      <c r="AC113" s="174"/>
    </row>
    <row r="114" spans="1:29" x14ac:dyDescent="0.2">
      <c r="A114" s="183" t="str">
        <f>Economics!A36</f>
        <v>Newman 3</v>
      </c>
      <c r="B114" s="181">
        <f t="shared" ref="B114:Y114" si="36">B43</f>
        <v>94</v>
      </c>
      <c r="C114" s="181">
        <f t="shared" si="36"/>
        <v>37</v>
      </c>
      <c r="D114" s="181">
        <f t="shared" si="36"/>
        <v>38</v>
      </c>
      <c r="E114" s="181">
        <f>E43</f>
        <v>37</v>
      </c>
      <c r="F114" s="181">
        <f t="shared" si="36"/>
        <v>60</v>
      </c>
      <c r="G114" s="181">
        <f t="shared" si="36"/>
        <v>92</v>
      </c>
      <c r="H114" s="181">
        <f t="shared" si="36"/>
        <v>41</v>
      </c>
      <c r="I114" s="181">
        <f t="shared" si="36"/>
        <v>93</v>
      </c>
      <c r="J114" s="181">
        <f t="shared" si="36"/>
        <v>93</v>
      </c>
      <c r="K114" s="181">
        <f t="shared" si="36"/>
        <v>91</v>
      </c>
      <c r="L114" s="181">
        <f t="shared" si="36"/>
        <v>91</v>
      </c>
      <c r="M114" s="181">
        <f t="shared" si="36"/>
        <v>87</v>
      </c>
      <c r="N114" s="181">
        <f t="shared" si="36"/>
        <v>92</v>
      </c>
      <c r="O114" s="181">
        <f t="shared" si="36"/>
        <v>89</v>
      </c>
      <c r="P114" s="181">
        <f t="shared" si="36"/>
        <v>90</v>
      </c>
      <c r="Q114" s="181">
        <f t="shared" si="36"/>
        <v>91</v>
      </c>
      <c r="R114" s="181">
        <f t="shared" si="36"/>
        <v>91</v>
      </c>
      <c r="S114" s="181">
        <f t="shared" si="36"/>
        <v>81</v>
      </c>
      <c r="T114" s="181">
        <f t="shared" si="36"/>
        <v>95</v>
      </c>
      <c r="U114" s="181">
        <f t="shared" si="36"/>
        <v>79</v>
      </c>
      <c r="V114" s="181">
        <f t="shared" si="36"/>
        <v>79</v>
      </c>
      <c r="W114" s="181">
        <f t="shared" si="36"/>
        <v>37</v>
      </c>
      <c r="X114" s="181">
        <f t="shared" si="36"/>
        <v>62</v>
      </c>
      <c r="Y114" s="181">
        <f t="shared" si="36"/>
        <v>66</v>
      </c>
      <c r="Z114" s="223">
        <f>SUM(B114:Y114)</f>
        <v>1806</v>
      </c>
      <c r="AA114" s="322" t="s">
        <v>173</v>
      </c>
    </row>
    <row r="115" spans="1:29" x14ac:dyDescent="0.2">
      <c r="A115" s="185">
        <f>Economics!$I36</f>
        <v>1.96</v>
      </c>
      <c r="B115" s="189">
        <f t="shared" ref="B115:Y115" ca="1" si="37">IndGencost(B114,OFFSET(HeatRateStart,1,MATCH($A114,HeatRateNames,0)-1,250,1),$A115)</f>
        <v>19.742996979997514</v>
      </c>
      <c r="C115" s="189">
        <f t="shared" ca="1" si="37"/>
        <v>21.524349608112029</v>
      </c>
      <c r="D115" s="189">
        <f t="shared" ca="1" si="37"/>
        <v>21.409493048266363</v>
      </c>
      <c r="E115" s="189">
        <f ca="1">IndGencost(E114,OFFSET(HeatRateStart,1,MATCH($A114,HeatRateNames,0)-1,250,1),$A115)</f>
        <v>21.524349608112029</v>
      </c>
      <c r="F115" s="189">
        <f t="shared" ca="1" si="37"/>
        <v>20.066153723875679</v>
      </c>
      <c r="G115" s="189">
        <f t="shared" ca="1" si="37"/>
        <v>19.737669079801311</v>
      </c>
      <c r="H115" s="189">
        <f t="shared" ca="1" si="37"/>
        <v>21.105997483951292</v>
      </c>
      <c r="I115" s="189">
        <f t="shared" ca="1" si="37"/>
        <v>19.740087696024169</v>
      </c>
      <c r="J115" s="189">
        <f t="shared" ca="1" si="37"/>
        <v>19.740087696024169</v>
      </c>
      <c r="K115" s="189">
        <f t="shared" ca="1" si="37"/>
        <v>19.735757307188852</v>
      </c>
      <c r="L115" s="189">
        <f t="shared" ca="1" si="37"/>
        <v>19.735757307188852</v>
      </c>
      <c r="M115" s="189">
        <f t="shared" ca="1" si="37"/>
        <v>19.733528200160496</v>
      </c>
      <c r="N115" s="189">
        <f t="shared" ca="1" si="37"/>
        <v>19.737669079801311</v>
      </c>
      <c r="O115" s="189">
        <f t="shared" ca="1" si="37"/>
        <v>19.733522631259447</v>
      </c>
      <c r="P115" s="189">
        <f t="shared" ca="1" si="37"/>
        <v>19.734369272973801</v>
      </c>
      <c r="Q115" s="189">
        <f t="shared" ca="1" si="37"/>
        <v>19.735757307188852</v>
      </c>
      <c r="R115" s="189">
        <f t="shared" ca="1" si="37"/>
        <v>19.735757307188852</v>
      </c>
      <c r="S115" s="189">
        <f t="shared" ca="1" si="37"/>
        <v>19.748645816461543</v>
      </c>
      <c r="T115" s="189">
        <f t="shared" ca="1" si="37"/>
        <v>19.746381436950283</v>
      </c>
      <c r="U115" s="189">
        <f t="shared" ca="1" si="37"/>
        <v>19.759355827609195</v>
      </c>
      <c r="V115" s="189">
        <f t="shared" ca="1" si="37"/>
        <v>19.759355827609195</v>
      </c>
      <c r="W115" s="189">
        <f t="shared" ca="1" si="37"/>
        <v>21.524349608112029</v>
      </c>
      <c r="X115" s="189">
        <f t="shared" ca="1" si="37"/>
        <v>20.011031357211451</v>
      </c>
      <c r="Y115" s="189">
        <f t="shared" ca="1" si="37"/>
        <v>19.920074327093182</v>
      </c>
      <c r="Z115" s="263">
        <f t="array" aca="1" ref="Z115" ca="1">SUM(B114:Y114*B115:Y115)</f>
        <v>36017.250780994415</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-19.742996979997514</v>
      </c>
      <c r="C118" s="188">
        <f t="shared" ca="1" si="39"/>
        <v>-21.524349608112029</v>
      </c>
      <c r="D118" s="188">
        <f t="shared" ca="1" si="39"/>
        <v>-21.409493048266363</v>
      </c>
      <c r="E118" s="188">
        <f t="shared" ca="1" si="39"/>
        <v>-21.524349608112029</v>
      </c>
      <c r="F118" s="188">
        <f t="shared" ca="1" si="39"/>
        <v>-20.066153723875679</v>
      </c>
      <c r="G118" s="188">
        <f t="shared" ca="1" si="39"/>
        <v>-19.737669079801311</v>
      </c>
      <c r="H118" s="188">
        <f t="shared" ca="1" si="39"/>
        <v>-21.105997483951292</v>
      </c>
      <c r="I118" s="188">
        <f t="shared" ca="1" si="39"/>
        <v>-19.740087696024169</v>
      </c>
      <c r="J118" s="188">
        <f t="shared" ca="1" si="39"/>
        <v>-19.740087696024169</v>
      </c>
      <c r="K118" s="188">
        <f t="shared" ca="1" si="39"/>
        <v>-19.735757307188852</v>
      </c>
      <c r="L118" s="188">
        <f t="shared" ca="1" si="39"/>
        <v>-19.735757307188852</v>
      </c>
      <c r="M118" s="188">
        <f t="shared" ca="1" si="39"/>
        <v>-19.733528200160496</v>
      </c>
      <c r="N118" s="188">
        <f t="shared" ca="1" si="39"/>
        <v>-19.737669079801311</v>
      </c>
      <c r="O118" s="188">
        <f t="shared" ca="1" si="39"/>
        <v>-19.733522631259447</v>
      </c>
      <c r="P118" s="188">
        <f t="shared" ca="1" si="39"/>
        <v>-19.734369272973801</v>
      </c>
      <c r="Q118" s="188">
        <f t="shared" ca="1" si="39"/>
        <v>-19.735757307188852</v>
      </c>
      <c r="R118" s="188">
        <f t="shared" ca="1" si="39"/>
        <v>-19.735757307188852</v>
      </c>
      <c r="S118" s="188">
        <f t="shared" ca="1" si="39"/>
        <v>-19.748645816461543</v>
      </c>
      <c r="T118" s="188">
        <f t="shared" ca="1" si="39"/>
        <v>-19.746381436950283</v>
      </c>
      <c r="U118" s="188">
        <f t="shared" ca="1" si="39"/>
        <v>-19.759355827609195</v>
      </c>
      <c r="V118" s="188">
        <f t="shared" ca="1" si="39"/>
        <v>-19.759355827609195</v>
      </c>
      <c r="W118" s="188">
        <f t="shared" ca="1" si="39"/>
        <v>-21.524349608112029</v>
      </c>
      <c r="X118" s="188">
        <f t="shared" ca="1" si="39"/>
        <v>-20.011031357211451</v>
      </c>
      <c r="Y118" s="188">
        <f t="shared" ca="1" si="39"/>
        <v>-19.920074327093182</v>
      </c>
      <c r="Z118" s="264">
        <f ca="1">Z115-Z117</f>
        <v>36017.250780994415</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99</v>
      </c>
      <c r="C129" s="181">
        <f t="shared" si="50"/>
        <v>98</v>
      </c>
      <c r="D129" s="181">
        <f t="shared" si="50"/>
        <v>88</v>
      </c>
      <c r="E129" s="181">
        <f>E46</f>
        <v>92</v>
      </c>
      <c r="F129" s="181">
        <f t="shared" si="50"/>
        <v>100</v>
      </c>
      <c r="G129" s="181">
        <f t="shared" si="50"/>
        <v>99</v>
      </c>
      <c r="H129" s="181">
        <f t="shared" si="50"/>
        <v>83</v>
      </c>
      <c r="I129" s="181">
        <f t="shared" si="50"/>
        <v>99</v>
      </c>
      <c r="J129" s="181">
        <f t="shared" si="50"/>
        <v>97</v>
      </c>
      <c r="K129" s="181">
        <f t="shared" si="50"/>
        <v>98</v>
      </c>
      <c r="L129" s="181">
        <f t="shared" si="50"/>
        <v>97</v>
      </c>
      <c r="M129" s="181">
        <f t="shared" si="50"/>
        <v>95</v>
      </c>
      <c r="N129" s="181">
        <f t="shared" si="50"/>
        <v>95</v>
      </c>
      <c r="O129" s="181">
        <f t="shared" si="50"/>
        <v>97</v>
      </c>
      <c r="P129" s="181">
        <f t="shared" si="50"/>
        <v>95</v>
      </c>
      <c r="Q129" s="181">
        <f t="shared" si="50"/>
        <v>95</v>
      </c>
      <c r="R129" s="181">
        <f t="shared" si="50"/>
        <v>97</v>
      </c>
      <c r="S129" s="181">
        <f t="shared" si="50"/>
        <v>90</v>
      </c>
      <c r="T129" s="181">
        <f t="shared" si="50"/>
        <v>101</v>
      </c>
      <c r="U129" s="181">
        <f t="shared" si="50"/>
        <v>99</v>
      </c>
      <c r="V129" s="181">
        <f t="shared" si="50"/>
        <v>99</v>
      </c>
      <c r="W129" s="181">
        <f t="shared" si="50"/>
        <v>67</v>
      </c>
      <c r="X129" s="181">
        <f t="shared" si="50"/>
        <v>88</v>
      </c>
      <c r="Y129" s="181">
        <f t="shared" si="50"/>
        <v>99</v>
      </c>
      <c r="Z129" s="223">
        <f>SUM(B129:Y129)</f>
        <v>2267</v>
      </c>
      <c r="AA129" s="322" t="s">
        <v>175</v>
      </c>
    </row>
    <row r="130" spans="1:27" x14ac:dyDescent="0.2">
      <c r="A130" s="185">
        <f>Economics!$I39</f>
        <v>1.96</v>
      </c>
      <c r="B130" s="189">
        <f t="shared" ref="B130:Y130" ca="1" si="51">IndGencost(B129,OFFSET(HeatRateStart,1,MATCH($A129,HeatRateNames,0)-1,250,1),$A130)</f>
        <v>18.247761619595899</v>
      </c>
      <c r="C130" s="189">
        <f t="shared" ca="1" si="51"/>
        <v>18.274691995675596</v>
      </c>
      <c r="D130" s="189">
        <f t="shared" ca="1" si="51"/>
        <v>18.606190202127454</v>
      </c>
      <c r="E130" s="189">
        <f ca="1">IndGencost(E129,OFFSET(HeatRateStart,1,MATCH($A129,HeatRateNames,0)-1,250,1),$A130)</f>
        <v>18.458988745349469</v>
      </c>
      <c r="F130" s="189">
        <f t="shared" ca="1" si="51"/>
        <v>18.221826354646684</v>
      </c>
      <c r="G130" s="189">
        <f t="shared" ca="1" si="51"/>
        <v>18.247761619595899</v>
      </c>
      <c r="H130" s="189">
        <f t="shared" ca="1" si="51"/>
        <v>18.822519125614917</v>
      </c>
      <c r="I130" s="189">
        <f t="shared" ca="1" si="51"/>
        <v>18.247761619595899</v>
      </c>
      <c r="J130" s="189">
        <f t="shared" ca="1" si="51"/>
        <v>18.302648259518669</v>
      </c>
      <c r="K130" s="189">
        <f t="shared" ca="1" si="51"/>
        <v>18.274691995675596</v>
      </c>
      <c r="L130" s="189">
        <f t="shared" ca="1" si="51"/>
        <v>18.302648259518669</v>
      </c>
      <c r="M130" s="189">
        <f t="shared" ca="1" si="51"/>
        <v>18.361768036317699</v>
      </c>
      <c r="N130" s="189">
        <f t="shared" ca="1" si="51"/>
        <v>18.361768036317699</v>
      </c>
      <c r="O130" s="189">
        <f t="shared" ca="1" si="51"/>
        <v>18.302648259518669</v>
      </c>
      <c r="P130" s="189">
        <f t="shared" ca="1" si="51"/>
        <v>18.361768036317699</v>
      </c>
      <c r="Q130" s="189">
        <f t="shared" ca="1" si="51"/>
        <v>18.361768036317699</v>
      </c>
      <c r="R130" s="189">
        <f t="shared" ca="1" si="51"/>
        <v>18.302648259518669</v>
      </c>
      <c r="S130" s="189">
        <f t="shared" ca="1" si="51"/>
        <v>18.529939449532296</v>
      </c>
      <c r="T130" s="189">
        <f t="shared" ca="1" si="51"/>
        <v>18.196856643071595</v>
      </c>
      <c r="U130" s="189">
        <f t="shared" ca="1" si="51"/>
        <v>18.247761619595899</v>
      </c>
      <c r="V130" s="189">
        <f t="shared" ca="1" si="51"/>
        <v>18.247761619595899</v>
      </c>
      <c r="W130" s="189">
        <f t="shared" ca="1" si="51"/>
        <v>19.84621293879901</v>
      </c>
      <c r="X130" s="189">
        <f t="shared" ca="1" si="51"/>
        <v>18.606190202127454</v>
      </c>
      <c r="Y130" s="189">
        <f t="shared" ca="1" si="51"/>
        <v>18.247761619595899</v>
      </c>
      <c r="Z130" s="263">
        <f t="array" aca="1" ref="Z130" ca="1">SUM(B129:Y129*B130:Y130)</f>
        <v>41692.550913031308</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-18.247761619595899</v>
      </c>
      <c r="C133" s="188">
        <f t="shared" ca="1" si="53"/>
        <v>-18.274691995675596</v>
      </c>
      <c r="D133" s="188">
        <f t="shared" ca="1" si="53"/>
        <v>-18.606190202127454</v>
      </c>
      <c r="E133" s="188">
        <f t="shared" ca="1" si="53"/>
        <v>-18.458988745349469</v>
      </c>
      <c r="F133" s="188">
        <f t="shared" ca="1" si="53"/>
        <v>-18.221826354646684</v>
      </c>
      <c r="G133" s="188">
        <f t="shared" ca="1" si="53"/>
        <v>-18.247761619595899</v>
      </c>
      <c r="H133" s="188">
        <f t="shared" ca="1" si="53"/>
        <v>-18.822519125614917</v>
      </c>
      <c r="I133" s="188">
        <f t="shared" ca="1" si="53"/>
        <v>-18.247761619595899</v>
      </c>
      <c r="J133" s="188">
        <f t="shared" ca="1" si="53"/>
        <v>-18.302648259518669</v>
      </c>
      <c r="K133" s="188">
        <f t="shared" ca="1" si="53"/>
        <v>-18.274691995675596</v>
      </c>
      <c r="L133" s="188">
        <f t="shared" ca="1" si="53"/>
        <v>-18.302648259518669</v>
      </c>
      <c r="M133" s="188">
        <f t="shared" ca="1" si="53"/>
        <v>-18.361768036317699</v>
      </c>
      <c r="N133" s="188">
        <f t="shared" ca="1" si="53"/>
        <v>-18.361768036317699</v>
      </c>
      <c r="O133" s="188">
        <f t="shared" ca="1" si="53"/>
        <v>-18.302648259518669</v>
      </c>
      <c r="P133" s="188">
        <f t="shared" ca="1" si="53"/>
        <v>-18.361768036317699</v>
      </c>
      <c r="Q133" s="188">
        <f t="shared" ca="1" si="53"/>
        <v>-18.361768036317699</v>
      </c>
      <c r="R133" s="188">
        <f t="shared" ca="1" si="53"/>
        <v>-18.302648259518669</v>
      </c>
      <c r="S133" s="188">
        <f t="shared" ca="1" si="53"/>
        <v>-18.529939449532296</v>
      </c>
      <c r="T133" s="188">
        <f t="shared" ca="1" si="53"/>
        <v>-18.196856643071595</v>
      </c>
      <c r="U133" s="188">
        <f t="shared" ca="1" si="53"/>
        <v>-18.247761619595899</v>
      </c>
      <c r="V133" s="188">
        <f t="shared" ca="1" si="53"/>
        <v>-18.247761619595899</v>
      </c>
      <c r="W133" s="188">
        <f t="shared" ca="1" si="53"/>
        <v>-19.84621293879901</v>
      </c>
      <c r="X133" s="188">
        <f t="shared" ca="1" si="53"/>
        <v>-18.606190202127454</v>
      </c>
      <c r="Y133" s="188">
        <f t="shared" ca="1" si="53"/>
        <v>-18.247761619595899</v>
      </c>
      <c r="Z133" s="264">
        <f ca="1">Z130-Z132</f>
        <v>41692.550913031308</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3">
        <f t="array" aca="1" ref="Z140" ca="1">SUM(B139:Y139*B140:Y140)</f>
        <v>0</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4">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4</v>
      </c>
      <c r="J144" s="181">
        <f t="shared" si="63"/>
        <v>57</v>
      </c>
      <c r="K144" s="181">
        <f t="shared" si="63"/>
        <v>62</v>
      </c>
      <c r="L144" s="181">
        <f t="shared" si="63"/>
        <v>62</v>
      </c>
      <c r="M144" s="181">
        <f t="shared" si="63"/>
        <v>60</v>
      </c>
      <c r="N144" s="181">
        <f t="shared" si="63"/>
        <v>66</v>
      </c>
      <c r="O144" s="181">
        <f t="shared" si="63"/>
        <v>63</v>
      </c>
      <c r="P144" s="181">
        <f t="shared" si="63"/>
        <v>62</v>
      </c>
      <c r="Q144" s="181">
        <f t="shared" si="63"/>
        <v>66</v>
      </c>
      <c r="R144" s="181">
        <f t="shared" si="63"/>
        <v>63</v>
      </c>
      <c r="S144" s="181">
        <f t="shared" si="63"/>
        <v>52</v>
      </c>
      <c r="T144" s="181">
        <f t="shared" si="63"/>
        <v>53</v>
      </c>
      <c r="U144" s="181">
        <v>0</v>
      </c>
      <c r="V144" s="181">
        <v>0</v>
      </c>
      <c r="W144" s="181">
        <v>0</v>
      </c>
      <c r="X144" s="181">
        <f>X49</f>
        <v>48</v>
      </c>
      <c r="Y144" s="181">
        <f>Y49</f>
        <v>0</v>
      </c>
      <c r="Z144" s="223">
        <f>SUM(B144:Y144)</f>
        <v>718</v>
      </c>
      <c r="AA144" s="322" t="s">
        <v>171</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144.04157566744385</v>
      </c>
      <c r="J145" s="189">
        <f t="shared" ca="1" si="64"/>
        <v>25.81324349860699</v>
      </c>
      <c r="K145" s="189">
        <f t="shared" ca="1" si="64"/>
        <v>25.403979757398815</v>
      </c>
      <c r="L145" s="189">
        <f t="shared" ca="1" si="64"/>
        <v>25.403979757398815</v>
      </c>
      <c r="M145" s="189">
        <f t="shared" ca="1" si="64"/>
        <v>25.552865457328792</v>
      </c>
      <c r="N145" s="189">
        <f t="shared" ca="1" si="64"/>
        <v>25.157404018359301</v>
      </c>
      <c r="O145" s="189">
        <f t="shared" ca="1" si="64"/>
        <v>25.336241101112691</v>
      </c>
      <c r="P145" s="189">
        <f t="shared" ca="1" si="64"/>
        <v>25.403979757398815</v>
      </c>
      <c r="Q145" s="189">
        <f t="shared" ca="1" si="64"/>
        <v>25.157404018359301</v>
      </c>
      <c r="R145" s="189">
        <f t="shared" ca="1" si="64"/>
        <v>25.336241101112691</v>
      </c>
      <c r="S145" s="189">
        <f t="shared" ca="1" si="64"/>
        <v>26.365005283596798</v>
      </c>
      <c r="T145" s="189">
        <f t="shared" ca="1" si="64"/>
        <v>26.241317260614743</v>
      </c>
      <c r="U145" s="189">
        <f t="shared" ca="1" si="64"/>
        <v>0</v>
      </c>
      <c r="V145" s="189">
        <f t="shared" ca="1" si="64"/>
        <v>0</v>
      </c>
      <c r="W145" s="189">
        <f t="shared" ca="1" si="64"/>
        <v>0</v>
      </c>
      <c r="X145" s="189">
        <f t="shared" ca="1" si="64"/>
        <v>26.938937892305564</v>
      </c>
      <c r="Y145" s="189">
        <f t="shared" ca="1" si="64"/>
        <v>0</v>
      </c>
      <c r="Z145" s="263">
        <f t="array" aca="1" ref="Z145" ca="1">SUM(B144:Y144*B145:Y145)</f>
        <v>18873.816161960189</v>
      </c>
      <c r="AA145" s="322" t="s">
        <v>168</v>
      </c>
    </row>
    <row r="146" spans="1:27" x14ac:dyDescent="0.2">
      <c r="A146" s="184" t="s">
        <v>178</v>
      </c>
      <c r="B146" s="186">
        <v>0</v>
      </c>
      <c r="C146" s="186">
        <f t="shared" ref="C146:T146" si="65">C144</f>
        <v>0</v>
      </c>
      <c r="D146" s="186">
        <f t="shared" si="65"/>
        <v>0</v>
      </c>
      <c r="E146" s="186">
        <f t="shared" si="65"/>
        <v>0</v>
      </c>
      <c r="F146" s="186">
        <f t="shared" si="65"/>
        <v>0</v>
      </c>
      <c r="G146" s="186">
        <f t="shared" si="65"/>
        <v>0</v>
      </c>
      <c r="H146" s="186">
        <f t="shared" si="65"/>
        <v>0</v>
      </c>
      <c r="I146" s="186">
        <f t="shared" si="65"/>
        <v>4</v>
      </c>
      <c r="J146" s="186">
        <f t="shared" si="65"/>
        <v>57</v>
      </c>
      <c r="K146" s="186">
        <f t="shared" si="65"/>
        <v>62</v>
      </c>
      <c r="L146" s="186">
        <f t="shared" si="65"/>
        <v>62</v>
      </c>
      <c r="M146" s="186">
        <f t="shared" si="65"/>
        <v>60</v>
      </c>
      <c r="N146" s="186">
        <f t="shared" si="65"/>
        <v>66</v>
      </c>
      <c r="O146" s="186">
        <f t="shared" si="65"/>
        <v>63</v>
      </c>
      <c r="P146" s="186">
        <f t="shared" si="65"/>
        <v>62</v>
      </c>
      <c r="Q146" s="186">
        <f t="shared" si="65"/>
        <v>66</v>
      </c>
      <c r="R146" s="186">
        <f t="shared" si="65"/>
        <v>63</v>
      </c>
      <c r="S146" s="186">
        <f t="shared" si="65"/>
        <v>52</v>
      </c>
      <c r="T146" s="186">
        <f t="shared" si="65"/>
        <v>53</v>
      </c>
      <c r="U146" s="186"/>
      <c r="V146" s="186"/>
      <c r="W146" s="186"/>
      <c r="X146" s="186">
        <f>X144</f>
        <v>48</v>
      </c>
      <c r="Y146" s="186">
        <f>Y144</f>
        <v>0</v>
      </c>
      <c r="Z146" s="224">
        <f>SUM(B146:Y146)</f>
        <v>718</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144.04157566744385</v>
      </c>
      <c r="J147" s="190">
        <f t="shared" ca="1" si="66"/>
        <v>25.81324349860699</v>
      </c>
      <c r="K147" s="190">
        <f t="shared" ca="1" si="66"/>
        <v>25.403979757398815</v>
      </c>
      <c r="L147" s="190">
        <f t="shared" ca="1" si="66"/>
        <v>25.403979757398815</v>
      </c>
      <c r="M147" s="190">
        <f t="shared" ca="1" si="66"/>
        <v>25.552865457328792</v>
      </c>
      <c r="N147" s="190">
        <f t="shared" ca="1" si="66"/>
        <v>25.157404018359301</v>
      </c>
      <c r="O147" s="190">
        <f t="shared" ca="1" si="66"/>
        <v>25.336241101112691</v>
      </c>
      <c r="P147" s="190">
        <f t="shared" ca="1" si="66"/>
        <v>25.403979757398815</v>
      </c>
      <c r="Q147" s="190">
        <f t="shared" ca="1" si="66"/>
        <v>25.157404018359301</v>
      </c>
      <c r="R147" s="190">
        <f t="shared" ca="1" si="66"/>
        <v>25.336241101112691</v>
      </c>
      <c r="S147" s="190">
        <f t="shared" ca="1" si="66"/>
        <v>26.365005283596798</v>
      </c>
      <c r="T147" s="190">
        <f t="shared" ca="1" si="66"/>
        <v>26.241317260614743</v>
      </c>
      <c r="U147" s="190">
        <f t="shared" ca="1" si="66"/>
        <v>0</v>
      </c>
      <c r="V147" s="190">
        <f t="shared" ca="1" si="66"/>
        <v>0</v>
      </c>
      <c r="W147" s="190">
        <f t="shared" ca="1" si="66"/>
        <v>0</v>
      </c>
      <c r="X147" s="190">
        <f t="shared" ca="1" si="66"/>
        <v>26.938937892305564</v>
      </c>
      <c r="Y147" s="190">
        <f t="shared" ca="1" si="66"/>
        <v>0</v>
      </c>
      <c r="Z147" s="262">
        <f t="array" aca="1" ref="Z147" ca="1">SUM(B146:Y146*B147:Y147)</f>
        <v>18873.816161960189</v>
      </c>
    </row>
    <row r="148" spans="1:27" ht="13.5" thickBot="1" x14ac:dyDescent="0.25">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0</v>
      </c>
    </row>
    <row r="149" spans="1:27" x14ac:dyDescent="0.2">
      <c r="A149" s="183" t="str">
        <f>Economics!A43</f>
        <v>Rio Grande 6</v>
      </c>
      <c r="B149" s="181">
        <f t="shared" ref="B149:Y149" si="68">B50</f>
        <v>38</v>
      </c>
      <c r="C149" s="181">
        <f t="shared" si="68"/>
        <v>38</v>
      </c>
      <c r="D149" s="181">
        <f t="shared" si="68"/>
        <v>38</v>
      </c>
      <c r="E149" s="181">
        <f>E50</f>
        <v>38</v>
      </c>
      <c r="F149" s="181">
        <f t="shared" si="68"/>
        <v>38</v>
      </c>
      <c r="G149" s="181">
        <f t="shared" si="68"/>
        <v>38</v>
      </c>
      <c r="H149" s="181">
        <f t="shared" si="68"/>
        <v>38</v>
      </c>
      <c r="I149" s="181">
        <f t="shared" si="68"/>
        <v>39</v>
      </c>
      <c r="J149" s="181">
        <f t="shared" si="68"/>
        <v>38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37</v>
      </c>
      <c r="X149" s="181">
        <f t="shared" si="68"/>
        <v>28</v>
      </c>
      <c r="Y149" s="181">
        <f t="shared" si="68"/>
        <v>28</v>
      </c>
      <c r="Z149" s="223">
        <f>SUM(B149:Y149)</f>
        <v>892</v>
      </c>
      <c r="AA149" s="322" t="s">
        <v>179</v>
      </c>
    </row>
    <row r="150" spans="1:27" x14ac:dyDescent="0.2">
      <c r="A150" s="185">
        <f>Economics!$I43</f>
        <v>2.09</v>
      </c>
      <c r="B150" s="189">
        <f t="shared" ref="B150:Y150" ca="1" si="69">IndGencost(B149,OFFSET(HeatRateStart,1,MATCH($A149,HeatRateNames,0)-1,250,1),$A150)</f>
        <v>25.45537769461594</v>
      </c>
      <c r="C150" s="189">
        <f t="shared" ca="1" si="69"/>
        <v>25.45537769461594</v>
      </c>
      <c r="D150" s="189">
        <f t="shared" ca="1" si="69"/>
        <v>25.45537769461594</v>
      </c>
      <c r="E150" s="189">
        <f ca="1">IndGencost(E149,OFFSET(HeatRateStart,1,MATCH($A149,HeatRateNames,0)-1,250,1),$A150)</f>
        <v>25.45537769461594</v>
      </c>
      <c r="F150" s="189">
        <f t="shared" ca="1" si="69"/>
        <v>25.45537769461594</v>
      </c>
      <c r="G150" s="189">
        <f t="shared" ca="1" si="69"/>
        <v>25.45537769461594</v>
      </c>
      <c r="H150" s="189">
        <f t="shared" ca="1" si="69"/>
        <v>25.45537769461594</v>
      </c>
      <c r="I150" s="189">
        <f t="shared" ca="1" si="69"/>
        <v>25.444858668637675</v>
      </c>
      <c r="J150" s="189">
        <f t="shared" ca="1" si="69"/>
        <v>25.45537769461594</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25.471689977459551</v>
      </c>
      <c r="X150" s="189">
        <f t="shared" ca="1" si="69"/>
        <v>25.98161358729056</v>
      </c>
      <c r="Y150" s="189">
        <f t="shared" ca="1" si="69"/>
        <v>25.98161358729056</v>
      </c>
      <c r="Z150" s="263">
        <f t="array" aca="1" ref="Z150" ca="1">SUM(B149:Y149*B150:Y150)</f>
        <v>22735.859426039264</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-25.45537769461594</v>
      </c>
      <c r="C153" s="188">
        <f t="shared" ca="1" si="71"/>
        <v>-25.45537769461594</v>
      </c>
      <c r="D153" s="188">
        <f t="shared" ca="1" si="71"/>
        <v>-25.45537769461594</v>
      </c>
      <c r="E153" s="188">
        <f t="shared" ca="1" si="71"/>
        <v>-25.45537769461594</v>
      </c>
      <c r="F153" s="188">
        <f t="shared" ca="1" si="71"/>
        <v>-25.45537769461594</v>
      </c>
      <c r="G153" s="188">
        <f t="shared" ca="1" si="71"/>
        <v>-25.45537769461594</v>
      </c>
      <c r="H153" s="188">
        <f t="shared" ca="1" si="71"/>
        <v>-25.45537769461594</v>
      </c>
      <c r="I153" s="188">
        <f t="shared" ca="1" si="71"/>
        <v>-25.444858668637675</v>
      </c>
      <c r="J153" s="188">
        <f t="shared" ca="1" si="71"/>
        <v>-25.45537769461594</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-25.471689977459551</v>
      </c>
      <c r="X153" s="188">
        <f t="shared" ca="1" si="71"/>
        <v>-25.98161358729056</v>
      </c>
      <c r="Y153" s="188">
        <f t="shared" ca="1" si="71"/>
        <v>-25.98161358729056</v>
      </c>
      <c r="Z153" s="264">
        <f ca="1">Z150-Z152</f>
        <v>22735.859426039264</v>
      </c>
    </row>
    <row r="154" spans="1:27" x14ac:dyDescent="0.2">
      <c r="A154" s="183" t="str">
        <f>Economics!A44</f>
        <v>Rio Grande 7</v>
      </c>
      <c r="B154" s="181">
        <f t="shared" ref="B154:Y154" si="72">B51</f>
        <v>32</v>
      </c>
      <c r="C154" s="181">
        <f t="shared" si="72"/>
        <v>32</v>
      </c>
      <c r="D154" s="181">
        <f t="shared" si="72"/>
        <v>32</v>
      </c>
      <c r="E154" s="181">
        <f>E51</f>
        <v>32</v>
      </c>
      <c r="F154" s="181">
        <f t="shared" si="72"/>
        <v>32</v>
      </c>
      <c r="G154" s="181">
        <f t="shared" si="72"/>
        <v>32</v>
      </c>
      <c r="H154" s="181">
        <f t="shared" si="72"/>
        <v>32</v>
      </c>
      <c r="I154" s="181">
        <f t="shared" si="72"/>
        <v>30</v>
      </c>
      <c r="J154" s="181">
        <f t="shared" si="72"/>
        <v>30</v>
      </c>
      <c r="K154" s="181">
        <f t="shared" si="72"/>
        <v>30</v>
      </c>
      <c r="L154" s="181">
        <f t="shared" si="72"/>
        <v>31</v>
      </c>
      <c r="M154" s="181">
        <f t="shared" si="72"/>
        <v>31</v>
      </c>
      <c r="N154" s="181">
        <f t="shared" si="72"/>
        <v>31</v>
      </c>
      <c r="O154" s="181">
        <f t="shared" si="72"/>
        <v>31</v>
      </c>
      <c r="P154" s="181">
        <f t="shared" si="72"/>
        <v>31</v>
      </c>
      <c r="Q154" s="181">
        <f t="shared" si="72"/>
        <v>31</v>
      </c>
      <c r="R154" s="181">
        <f t="shared" si="72"/>
        <v>31</v>
      </c>
      <c r="S154" s="181">
        <f t="shared" si="72"/>
        <v>31</v>
      </c>
      <c r="T154" s="181">
        <f t="shared" si="72"/>
        <v>31</v>
      </c>
      <c r="U154" s="181">
        <f t="shared" si="72"/>
        <v>31</v>
      </c>
      <c r="V154" s="181">
        <f t="shared" si="72"/>
        <v>31</v>
      </c>
      <c r="W154" s="181">
        <f t="shared" si="72"/>
        <v>29</v>
      </c>
      <c r="X154" s="181">
        <f t="shared" si="72"/>
        <v>28</v>
      </c>
      <c r="Y154" s="181">
        <f t="shared" si="72"/>
        <v>28</v>
      </c>
      <c r="Z154" s="223">
        <f>SUM(B154:Y154)</f>
        <v>740</v>
      </c>
      <c r="AA154" s="322" t="s">
        <v>179</v>
      </c>
    </row>
    <row r="155" spans="1:27" x14ac:dyDescent="0.2">
      <c r="A155" s="185">
        <f>Economics!$I44</f>
        <v>2.09</v>
      </c>
      <c r="B155" s="189">
        <f t="shared" ref="B155:Y155" ca="1" si="73">IndGencost(B154,OFFSET(HeatRateStart,1,MATCH($A154,HeatRateNames,0)-1,250,1),$A155)</f>
        <v>22.22988594207823</v>
      </c>
      <c r="C155" s="189">
        <f t="shared" ca="1" si="73"/>
        <v>22.22988594207823</v>
      </c>
      <c r="D155" s="189">
        <f t="shared" ca="1" si="73"/>
        <v>22.22988594207823</v>
      </c>
      <c r="E155" s="189">
        <f ca="1">IndGencost(E154,OFFSET(HeatRateStart,1,MATCH($A154,HeatRateNames,0)-1,250,1),$A155)</f>
        <v>22.22988594207823</v>
      </c>
      <c r="F155" s="189">
        <f t="shared" ca="1" si="73"/>
        <v>22.22988594207823</v>
      </c>
      <c r="G155" s="189">
        <f t="shared" ca="1" si="73"/>
        <v>22.22988594207823</v>
      </c>
      <c r="H155" s="189">
        <f t="shared" ca="1" si="73"/>
        <v>22.22988594207823</v>
      </c>
      <c r="I155" s="189">
        <f t="shared" ca="1" si="73"/>
        <v>22.287926284694674</v>
      </c>
      <c r="J155" s="189">
        <f t="shared" ca="1" si="73"/>
        <v>22.287926284694674</v>
      </c>
      <c r="K155" s="189">
        <f t="shared" ca="1" si="73"/>
        <v>22.287926284694674</v>
      </c>
      <c r="L155" s="189">
        <f t="shared" ca="1" si="73"/>
        <v>22.25214184551908</v>
      </c>
      <c r="M155" s="189">
        <f t="shared" ca="1" si="73"/>
        <v>22.25214184551908</v>
      </c>
      <c r="N155" s="189">
        <f t="shared" ca="1" si="73"/>
        <v>22.25214184551908</v>
      </c>
      <c r="O155" s="189">
        <f t="shared" ca="1" si="73"/>
        <v>22.25214184551908</v>
      </c>
      <c r="P155" s="189">
        <f t="shared" ca="1" si="73"/>
        <v>22.25214184551908</v>
      </c>
      <c r="Q155" s="189">
        <f t="shared" ca="1" si="73"/>
        <v>22.25214184551908</v>
      </c>
      <c r="R155" s="189">
        <f t="shared" ca="1" si="73"/>
        <v>22.25214184551908</v>
      </c>
      <c r="S155" s="189">
        <f t="shared" ca="1" si="73"/>
        <v>22.25214184551908</v>
      </c>
      <c r="T155" s="189">
        <f t="shared" ca="1" si="73"/>
        <v>22.25214184551908</v>
      </c>
      <c r="U155" s="189">
        <f t="shared" ca="1" si="73"/>
        <v>22.25214184551908</v>
      </c>
      <c r="V155" s="189">
        <f t="shared" ca="1" si="73"/>
        <v>22.25214184551908</v>
      </c>
      <c r="W155" s="189">
        <f t="shared" ca="1" si="73"/>
        <v>22.338638763301702</v>
      </c>
      <c r="X155" s="189">
        <f t="shared" ca="1" si="73"/>
        <v>22.405878714136396</v>
      </c>
      <c r="Y155" s="189">
        <f t="shared" ca="1" si="73"/>
        <v>22.405878714136396</v>
      </c>
      <c r="Z155" s="263">
        <f t="array" aca="1" ref="Z155" ca="1">SUM(B154:Y154*B155:Y155)</f>
        <v>16475.937918097447</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-22.22988594207823</v>
      </c>
      <c r="C158" s="188">
        <f t="shared" ca="1" si="75"/>
        <v>-22.22988594207823</v>
      </c>
      <c r="D158" s="188">
        <f t="shared" ca="1" si="75"/>
        <v>-22.22988594207823</v>
      </c>
      <c r="E158" s="188">
        <f t="shared" ca="1" si="75"/>
        <v>-22.22988594207823</v>
      </c>
      <c r="F158" s="188">
        <f t="shared" ca="1" si="75"/>
        <v>-22.22988594207823</v>
      </c>
      <c r="G158" s="188">
        <f t="shared" ca="1" si="75"/>
        <v>-22.22988594207823</v>
      </c>
      <c r="H158" s="188">
        <f t="shared" ca="1" si="75"/>
        <v>-22.22988594207823</v>
      </c>
      <c r="I158" s="188">
        <f t="shared" ca="1" si="75"/>
        <v>-22.287926284694674</v>
      </c>
      <c r="J158" s="188">
        <f t="shared" ca="1" si="75"/>
        <v>-22.287926284694674</v>
      </c>
      <c r="K158" s="188">
        <f t="shared" ca="1" si="75"/>
        <v>-22.287926284694674</v>
      </c>
      <c r="L158" s="188">
        <f t="shared" ca="1" si="75"/>
        <v>-22.25214184551908</v>
      </c>
      <c r="M158" s="188">
        <f t="shared" ca="1" si="75"/>
        <v>-22.25214184551908</v>
      </c>
      <c r="N158" s="188">
        <f t="shared" ca="1" si="75"/>
        <v>-22.25214184551908</v>
      </c>
      <c r="O158" s="188">
        <f t="shared" ca="1" si="75"/>
        <v>-22.25214184551908</v>
      </c>
      <c r="P158" s="188">
        <f t="shared" ca="1" si="75"/>
        <v>-22.25214184551908</v>
      </c>
      <c r="Q158" s="188">
        <f t="shared" ca="1" si="75"/>
        <v>-22.25214184551908</v>
      </c>
      <c r="R158" s="188">
        <f t="shared" ca="1" si="75"/>
        <v>-22.25214184551908</v>
      </c>
      <c r="S158" s="188">
        <f t="shared" ca="1" si="75"/>
        <v>-22.25214184551908</v>
      </c>
      <c r="T158" s="188">
        <f t="shared" ca="1" si="75"/>
        <v>-22.25214184551908</v>
      </c>
      <c r="U158" s="188">
        <f t="shared" ca="1" si="75"/>
        <v>-22.25214184551908</v>
      </c>
      <c r="V158" s="188">
        <f t="shared" ca="1" si="75"/>
        <v>-22.25214184551908</v>
      </c>
      <c r="W158" s="188">
        <f t="shared" ca="1" si="75"/>
        <v>-22.338638763301702</v>
      </c>
      <c r="X158" s="188">
        <f t="shared" ca="1" si="75"/>
        <v>-22.405878714136396</v>
      </c>
      <c r="Y158" s="188">
        <f t="shared" ca="1" si="75"/>
        <v>-22.405878714136396</v>
      </c>
      <c r="Z158" s="264">
        <f ca="1">Z155-Z157</f>
        <v>16475.937918097447</v>
      </c>
    </row>
    <row r="159" spans="1:27" x14ac:dyDescent="0.2">
      <c r="A159" s="183" t="str">
        <f>Economics!A45</f>
        <v>Rio Grande 8</v>
      </c>
      <c r="B159" s="181">
        <f t="shared" ref="B159:Y159" si="76">B52</f>
        <v>49</v>
      </c>
      <c r="C159" s="181">
        <f t="shared" si="76"/>
        <v>49</v>
      </c>
      <c r="D159" s="181">
        <f t="shared" si="76"/>
        <v>49</v>
      </c>
      <c r="E159" s="181">
        <f>E52</f>
        <v>49</v>
      </c>
      <c r="F159" s="181">
        <f t="shared" si="76"/>
        <v>49</v>
      </c>
      <c r="G159" s="181">
        <f t="shared" si="76"/>
        <v>49</v>
      </c>
      <c r="H159" s="181">
        <f t="shared" si="76"/>
        <v>49</v>
      </c>
      <c r="I159" s="181">
        <f t="shared" si="76"/>
        <v>49</v>
      </c>
      <c r="J159" s="181">
        <f t="shared" si="76"/>
        <v>50</v>
      </c>
      <c r="K159" s="181">
        <f t="shared" si="76"/>
        <v>50</v>
      </c>
      <c r="L159" s="181">
        <f t="shared" si="76"/>
        <v>50</v>
      </c>
      <c r="M159" s="181">
        <f t="shared" si="76"/>
        <v>50</v>
      </c>
      <c r="N159" s="181">
        <f t="shared" si="76"/>
        <v>50</v>
      </c>
      <c r="O159" s="181">
        <f t="shared" si="76"/>
        <v>50</v>
      </c>
      <c r="P159" s="181">
        <f t="shared" si="76"/>
        <v>50</v>
      </c>
      <c r="Q159" s="181">
        <f t="shared" si="76"/>
        <v>50</v>
      </c>
      <c r="R159" s="181">
        <f t="shared" si="76"/>
        <v>50</v>
      </c>
      <c r="S159" s="181">
        <f t="shared" si="76"/>
        <v>50</v>
      </c>
      <c r="T159" s="181">
        <f t="shared" si="76"/>
        <v>50</v>
      </c>
      <c r="U159" s="181">
        <f t="shared" si="76"/>
        <v>50</v>
      </c>
      <c r="V159" s="181">
        <f t="shared" si="76"/>
        <v>50</v>
      </c>
      <c r="W159" s="181">
        <f t="shared" si="76"/>
        <v>49</v>
      </c>
      <c r="X159" s="181">
        <f t="shared" si="76"/>
        <v>49</v>
      </c>
      <c r="Y159" s="181">
        <f t="shared" si="76"/>
        <v>50</v>
      </c>
      <c r="Z159" s="223">
        <f>SUM(B159:Y159)</f>
        <v>1190</v>
      </c>
      <c r="AA159" s="322" t="s">
        <v>179</v>
      </c>
    </row>
    <row r="160" spans="1:27" x14ac:dyDescent="0.2">
      <c r="A160" s="185">
        <f>Economics!$I45</f>
        <v>2.09</v>
      </c>
      <c r="B160" s="189">
        <f t="shared" ref="B160:Y160" ca="1" si="77">IndGencost(B159,OFFSET(HeatRateStart,1,MATCH($A159,HeatRateNames,0)-1,250,1),$A160)</f>
        <v>21.80912777782703</v>
      </c>
      <c r="C160" s="189">
        <f t="shared" ca="1" si="77"/>
        <v>21.80912777782703</v>
      </c>
      <c r="D160" s="189">
        <f t="shared" ca="1" si="77"/>
        <v>21.80912777782703</v>
      </c>
      <c r="E160" s="189">
        <f ca="1">IndGencost(E159,OFFSET(HeatRateStart,1,MATCH($A159,HeatRateNames,0)-1,250,1),$A160)</f>
        <v>21.80912777782703</v>
      </c>
      <c r="F160" s="189">
        <f t="shared" ca="1" si="77"/>
        <v>21.80912777782703</v>
      </c>
      <c r="G160" s="189">
        <f t="shared" ca="1" si="77"/>
        <v>21.80912777782703</v>
      </c>
      <c r="H160" s="189">
        <f t="shared" ca="1" si="77"/>
        <v>21.80912777782703</v>
      </c>
      <c r="I160" s="189">
        <f t="shared" ca="1" si="77"/>
        <v>21.80912777782703</v>
      </c>
      <c r="J160" s="189">
        <f t="shared" ca="1" si="77"/>
        <v>21.759407106399536</v>
      </c>
      <c r="K160" s="189">
        <f t="shared" ca="1" si="77"/>
        <v>21.759407106399536</v>
      </c>
      <c r="L160" s="189">
        <f t="shared" ca="1" si="77"/>
        <v>21.759407106399536</v>
      </c>
      <c r="M160" s="189">
        <f t="shared" ca="1" si="77"/>
        <v>21.759407106399536</v>
      </c>
      <c r="N160" s="189">
        <f t="shared" ca="1" si="77"/>
        <v>21.759407106399536</v>
      </c>
      <c r="O160" s="189">
        <f t="shared" ca="1" si="77"/>
        <v>21.759407106399536</v>
      </c>
      <c r="P160" s="189">
        <f t="shared" ca="1" si="77"/>
        <v>21.759407106399536</v>
      </c>
      <c r="Q160" s="189">
        <f t="shared" ca="1" si="77"/>
        <v>21.759407106399536</v>
      </c>
      <c r="R160" s="189">
        <f t="shared" ca="1" si="77"/>
        <v>21.759407106399536</v>
      </c>
      <c r="S160" s="189">
        <f t="shared" ca="1" si="77"/>
        <v>21.759407106399536</v>
      </c>
      <c r="T160" s="189">
        <f t="shared" ca="1" si="77"/>
        <v>21.759407106399536</v>
      </c>
      <c r="U160" s="189">
        <f t="shared" ca="1" si="77"/>
        <v>21.759407106399536</v>
      </c>
      <c r="V160" s="189">
        <f t="shared" ca="1" si="77"/>
        <v>21.759407106399536</v>
      </c>
      <c r="W160" s="189">
        <f t="shared" ca="1" si="77"/>
        <v>21.80912777782703</v>
      </c>
      <c r="X160" s="189">
        <f t="shared" ca="1" si="77"/>
        <v>21.80912777782703</v>
      </c>
      <c r="Y160" s="189">
        <f t="shared" ca="1" si="77"/>
        <v>21.759407106399536</v>
      </c>
      <c r="Z160" s="263">
        <f t="array" aca="1" ref="Z160" ca="1">SUM(B159:Y159*B160:Y160)</f>
        <v>25918.057585614915</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-0.28802544735524194</v>
      </c>
      <c r="C163" s="188">
        <f t="shared" ca="1" si="79"/>
        <v>-0.28802544735524194</v>
      </c>
      <c r="D163" s="188">
        <f t="shared" ca="1" si="79"/>
        <v>-0.28802544735524194</v>
      </c>
      <c r="E163" s="188">
        <f t="shared" ca="1" si="79"/>
        <v>-0.28802544735524194</v>
      </c>
      <c r="F163" s="188">
        <f t="shared" ca="1" si="79"/>
        <v>-0.50005134524131023</v>
      </c>
      <c r="G163" s="188">
        <f t="shared" ca="1" si="79"/>
        <v>-0.59918164886260783</v>
      </c>
      <c r="H163" s="188">
        <f t="shared" ca="1" si="79"/>
        <v>-0.28802544735524194</v>
      </c>
      <c r="I163" s="188">
        <f t="shared" ca="1" si="79"/>
        <v>-0.28802544735524194</v>
      </c>
      <c r="J163" s="188">
        <f t="shared" ca="1" si="79"/>
        <v>-0.23830477592774812</v>
      </c>
      <c r="K163" s="188">
        <f t="shared" ca="1" si="79"/>
        <v>-0.23830477592774812</v>
      </c>
      <c r="L163" s="188">
        <f t="shared" ca="1" si="79"/>
        <v>-0.23830477592774812</v>
      </c>
      <c r="M163" s="188">
        <f t="shared" ca="1" si="79"/>
        <v>-0.23830477592774812</v>
      </c>
      <c r="N163" s="188">
        <f t="shared" ca="1" si="79"/>
        <v>-0.23830477592774812</v>
      </c>
      <c r="O163" s="188">
        <f t="shared" ca="1" si="79"/>
        <v>-0.23830477592774812</v>
      </c>
      <c r="P163" s="188">
        <f t="shared" ca="1" si="79"/>
        <v>-0.23830477592774812</v>
      </c>
      <c r="Q163" s="188">
        <f t="shared" ca="1" si="79"/>
        <v>-0.23830477592774812</v>
      </c>
      <c r="R163" s="188">
        <f t="shared" ca="1" si="79"/>
        <v>-0.23830477592774812</v>
      </c>
      <c r="S163" s="188">
        <f t="shared" ca="1" si="79"/>
        <v>-0.23830477592774812</v>
      </c>
      <c r="T163" s="188">
        <f t="shared" ca="1" si="79"/>
        <v>-0.55396062430914483</v>
      </c>
      <c r="U163" s="188">
        <f t="shared" ca="1" si="79"/>
        <v>-0.32056798683513676</v>
      </c>
      <c r="V163" s="188">
        <f t="shared" ca="1" si="79"/>
        <v>-0.53058131154378074</v>
      </c>
      <c r="W163" s="188">
        <f t="shared" ca="1" si="79"/>
        <v>-0.50005134524131023</v>
      </c>
      <c r="X163" s="188">
        <f t="shared" ca="1" si="79"/>
        <v>-0.28802544735524194</v>
      </c>
      <c r="Y163" s="188">
        <f t="shared" ca="1" si="79"/>
        <v>-0.23830477592774812</v>
      </c>
      <c r="Z163" s="264">
        <f ca="1">Z160-Z162</f>
        <v>-6207.4690350759083</v>
      </c>
      <c r="AA163" s="266"/>
    </row>
    <row r="164" spans="1:27" s="273" customFormat="1" x14ac:dyDescent="0.2">
      <c r="A164" s="306" t="s">
        <v>183</v>
      </c>
      <c r="B164" s="307">
        <f t="shared" ref="B164:Y164" si="80">B159+B154+B149+B144+B139+B134+B129+B124+B119+B114+B109+B104+B101+B98+B95+B92+B89</f>
        <v>834</v>
      </c>
      <c r="C164" s="307">
        <f t="shared" si="80"/>
        <v>769</v>
      </c>
      <c r="D164" s="307">
        <f t="shared" si="80"/>
        <v>763</v>
      </c>
      <c r="E164" s="307">
        <f t="shared" si="80"/>
        <v>764</v>
      </c>
      <c r="F164" s="307">
        <f t="shared" si="80"/>
        <v>800</v>
      </c>
      <c r="G164" s="307">
        <f t="shared" si="80"/>
        <v>874</v>
      </c>
      <c r="H164" s="307">
        <f t="shared" si="80"/>
        <v>782</v>
      </c>
      <c r="I164" s="307">
        <f t="shared" si="80"/>
        <v>859</v>
      </c>
      <c r="J164" s="307">
        <f t="shared" si="80"/>
        <v>973</v>
      </c>
      <c r="K164" s="307">
        <f t="shared" si="80"/>
        <v>972</v>
      </c>
      <c r="L164" s="307">
        <f t="shared" si="80"/>
        <v>971</v>
      </c>
      <c r="M164" s="307" t="e">
        <f t="shared" si="80"/>
        <v>#REF!</v>
      </c>
      <c r="N164" s="307">
        <f t="shared" si="80"/>
        <v>990</v>
      </c>
      <c r="O164" s="307">
        <f t="shared" si="80"/>
        <v>976</v>
      </c>
      <c r="P164" s="307">
        <f t="shared" si="80"/>
        <v>978</v>
      </c>
      <c r="Q164" s="307">
        <f t="shared" si="80"/>
        <v>973</v>
      </c>
      <c r="R164" s="307">
        <f t="shared" si="80"/>
        <v>969</v>
      </c>
      <c r="S164" s="307">
        <f t="shared" si="80"/>
        <v>883</v>
      </c>
      <c r="T164" s="307">
        <f t="shared" si="80"/>
        <v>911</v>
      </c>
      <c r="U164" s="307">
        <f t="shared" si="80"/>
        <v>843</v>
      </c>
      <c r="V164" s="307">
        <f t="shared" si="80"/>
        <v>815</v>
      </c>
      <c r="W164" s="307">
        <f t="shared" si="80"/>
        <v>740</v>
      </c>
      <c r="X164" s="307">
        <f t="shared" si="80"/>
        <v>848</v>
      </c>
      <c r="Y164" s="308">
        <f t="shared" si="80"/>
        <v>813</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878</v>
      </c>
      <c r="D165" s="310">
        <f t="shared" si="81"/>
        <v>848</v>
      </c>
      <c r="E165" s="310">
        <f t="shared" si="81"/>
        <v>848</v>
      </c>
      <c r="F165" s="310">
        <f t="shared" si="81"/>
        <v>858</v>
      </c>
      <c r="G165" s="310">
        <f t="shared" si="81"/>
        <v>868</v>
      </c>
      <c r="H165" s="310">
        <f t="shared" si="81"/>
        <v>894</v>
      </c>
      <c r="I165" s="310">
        <f t="shared" si="81"/>
        <v>883</v>
      </c>
      <c r="J165" s="310">
        <f t="shared" si="81"/>
        <v>936</v>
      </c>
      <c r="K165" s="310">
        <f t="shared" si="81"/>
        <v>941</v>
      </c>
      <c r="L165" s="310">
        <f t="shared" si="81"/>
        <v>992</v>
      </c>
      <c r="M165" s="310">
        <f t="shared" si="81"/>
        <v>990</v>
      </c>
      <c r="N165" s="310">
        <f t="shared" si="81"/>
        <v>996</v>
      </c>
      <c r="O165" s="310">
        <f t="shared" si="81"/>
        <v>993</v>
      </c>
      <c r="P165" s="310">
        <f t="shared" si="81"/>
        <v>992</v>
      </c>
      <c r="Q165" s="310">
        <f t="shared" si="81"/>
        <v>996</v>
      </c>
      <c r="R165" s="310">
        <f t="shared" si="81"/>
        <v>993</v>
      </c>
      <c r="S165" s="310">
        <f t="shared" si="81"/>
        <v>982</v>
      </c>
      <c r="T165" s="310">
        <f t="shared" si="81"/>
        <v>1082</v>
      </c>
      <c r="U165" s="310">
        <f t="shared" si="81"/>
        <v>1054</v>
      </c>
      <c r="V165" s="310">
        <f t="shared" si="81"/>
        <v>968</v>
      </c>
      <c r="W165" s="310">
        <f>W161+W156+W151+W146+W141+W136+W131+W126+W121+W116+W111+W106+W102+W99+W96+W93+W90</f>
        <v>938</v>
      </c>
      <c r="X165" s="310">
        <f t="shared" si="81"/>
        <v>957</v>
      </c>
      <c r="Y165" s="311">
        <f t="shared" si="81"/>
        <v>909</v>
      </c>
      <c r="Z165" s="275"/>
      <c r="AA165" s="174" t="e">
        <f ca="1">Z163+Z158+Z153+Z148+Z143+Z138+Z133+Z128+Z123+Z118+Z113+Z108+Z103+Z100+Z97+Z94+Z91</f>
        <v>#REF!</v>
      </c>
    </row>
    <row r="166" spans="1:27" x14ac:dyDescent="0.2">
      <c r="A166" s="334" t="s">
        <v>185</v>
      </c>
      <c r="B166" s="335">
        <f t="shared" ref="B166:Y166" si="82">B165-B164</f>
        <v>145</v>
      </c>
      <c r="C166" s="335">
        <f t="shared" si="82"/>
        <v>109</v>
      </c>
      <c r="D166" s="335">
        <f t="shared" si="82"/>
        <v>85</v>
      </c>
      <c r="E166" s="335">
        <f t="shared" si="82"/>
        <v>84</v>
      </c>
      <c r="F166" s="335">
        <f t="shared" si="82"/>
        <v>58</v>
      </c>
      <c r="G166" s="335">
        <f t="shared" si="82"/>
        <v>-6</v>
      </c>
      <c r="H166" s="335">
        <f t="shared" si="82"/>
        <v>112</v>
      </c>
      <c r="I166" s="335">
        <f t="shared" si="82"/>
        <v>24</v>
      </c>
      <c r="J166" s="335">
        <f t="shared" si="82"/>
        <v>-37</v>
      </c>
      <c r="K166" s="335">
        <f t="shared" si="82"/>
        <v>-31</v>
      </c>
      <c r="L166" s="335">
        <f t="shared" si="82"/>
        <v>21</v>
      </c>
      <c r="M166" s="335" t="e">
        <f t="shared" si="82"/>
        <v>#REF!</v>
      </c>
      <c r="N166" s="335">
        <f t="shared" si="82"/>
        <v>6</v>
      </c>
      <c r="O166" s="335">
        <f t="shared" si="82"/>
        <v>17</v>
      </c>
      <c r="P166" s="335">
        <f t="shared" si="82"/>
        <v>14</v>
      </c>
      <c r="Q166" s="335">
        <f t="shared" si="82"/>
        <v>23</v>
      </c>
      <c r="R166" s="335">
        <f t="shared" si="82"/>
        <v>24</v>
      </c>
      <c r="S166" s="335">
        <f t="shared" si="82"/>
        <v>99</v>
      </c>
      <c r="T166" s="335">
        <f t="shared" si="82"/>
        <v>171</v>
      </c>
      <c r="U166" s="335">
        <f t="shared" si="82"/>
        <v>211</v>
      </c>
      <c r="V166" s="335">
        <f t="shared" si="82"/>
        <v>153</v>
      </c>
      <c r="W166" s="335">
        <f t="shared" si="82"/>
        <v>198</v>
      </c>
      <c r="X166" s="335">
        <f t="shared" si="82"/>
        <v>109</v>
      </c>
      <c r="Y166" s="336">
        <f t="shared" si="82"/>
        <v>96</v>
      </c>
      <c r="Z166" s="340" t="e">
        <f>SUM(B166:Y166)</f>
        <v>#REF!</v>
      </c>
    </row>
    <row r="167" spans="1:27" s="329" customFormat="1" ht="32.25" customHeight="1" thickBot="1" x14ac:dyDescent="0.25">
      <c r="A167" s="337" t="s">
        <v>186</v>
      </c>
      <c r="B167" s="338">
        <f t="shared" ref="B167:Y167" ca="1" si="83">B58</f>
        <v>-9</v>
      </c>
      <c r="C167" s="338">
        <f t="shared" ca="1" si="83"/>
        <v>-2</v>
      </c>
      <c r="D167" s="338">
        <f t="shared" ca="1" si="83"/>
        <v>-5</v>
      </c>
      <c r="E167" s="338">
        <f ca="1">E58</f>
        <v>7</v>
      </c>
      <c r="F167" s="338">
        <f t="shared" ca="1" si="83"/>
        <v>-4</v>
      </c>
      <c r="G167" s="338">
        <f t="shared" ca="1" si="83"/>
        <v>-3</v>
      </c>
      <c r="H167" s="338">
        <f t="shared" ca="1" si="83"/>
        <v>-3</v>
      </c>
      <c r="I167" s="338">
        <f t="shared" ca="1" si="83"/>
        <v>-6</v>
      </c>
      <c r="J167" s="338">
        <f t="shared" ca="1" si="83"/>
        <v>0</v>
      </c>
      <c r="K167" s="338">
        <f t="shared" ca="1" si="83"/>
        <v>5</v>
      </c>
      <c r="L167" s="338">
        <f t="shared" ca="1" si="83"/>
        <v>2</v>
      </c>
      <c r="M167" s="338">
        <f t="shared" ca="1" si="83"/>
        <v>17</v>
      </c>
      <c r="N167" s="338">
        <f t="shared" ca="1" si="83"/>
        <v>8</v>
      </c>
      <c r="O167" s="338">
        <f t="shared" ca="1" si="83"/>
        <v>24</v>
      </c>
      <c r="P167" s="338">
        <f t="shared" ca="1" si="83"/>
        <v>15</v>
      </c>
      <c r="Q167" s="338">
        <f t="shared" ca="1" si="83"/>
        <v>19</v>
      </c>
      <c r="R167" s="338">
        <f t="shared" ca="1" si="83"/>
        <v>18</v>
      </c>
      <c r="S167" s="338">
        <f t="shared" ca="1" si="83"/>
        <v>21</v>
      </c>
      <c r="T167" s="338">
        <f t="shared" ca="1" si="83"/>
        <v>5</v>
      </c>
      <c r="U167" s="338">
        <f t="shared" ca="1" si="83"/>
        <v>17</v>
      </c>
      <c r="V167" s="338">
        <f t="shared" ca="1" si="83"/>
        <v>3</v>
      </c>
      <c r="W167" s="338">
        <f t="shared" ca="1" si="83"/>
        <v>1</v>
      </c>
      <c r="X167" s="338">
        <f ca="1">X58</f>
        <v>4</v>
      </c>
      <c r="Y167" s="339">
        <f t="shared" ca="1" si="83"/>
        <v>-4</v>
      </c>
      <c r="Z167" s="327">
        <f ca="1">SUM(B167:Y167)</f>
        <v>130</v>
      </c>
      <c r="AA167" s="328"/>
    </row>
    <row r="168" spans="1:27" ht="13.5" hidden="1" thickBot="1" x14ac:dyDescent="0.25">
      <c r="A168" s="330" t="s">
        <v>187</v>
      </c>
      <c r="B168" s="331">
        <f t="shared" ref="B168:Y168" ca="1" si="84">B167+B166</f>
        <v>136</v>
      </c>
      <c r="C168" s="331">
        <f t="shared" ca="1" si="84"/>
        <v>107</v>
      </c>
      <c r="D168" s="331">
        <f t="shared" ca="1" si="84"/>
        <v>80</v>
      </c>
      <c r="E168" s="331">
        <f t="shared" ca="1" si="84"/>
        <v>91</v>
      </c>
      <c r="F168" s="331">
        <f t="shared" ca="1" si="84"/>
        <v>54</v>
      </c>
      <c r="G168" s="331">
        <f t="shared" ca="1" si="84"/>
        <v>-9</v>
      </c>
      <c r="H168" s="331">
        <f t="shared" ca="1" si="84"/>
        <v>109</v>
      </c>
      <c r="I168" s="331">
        <f t="shared" ca="1" si="84"/>
        <v>18</v>
      </c>
      <c r="J168" s="331">
        <f t="shared" ca="1" si="84"/>
        <v>-37</v>
      </c>
      <c r="K168" s="331">
        <f t="shared" ca="1" si="84"/>
        <v>-26</v>
      </c>
      <c r="L168" s="331">
        <f t="shared" ca="1" si="84"/>
        <v>23</v>
      </c>
      <c r="M168" s="331" t="e">
        <f t="shared" ca="1" si="84"/>
        <v>#REF!</v>
      </c>
      <c r="N168" s="331">
        <f t="shared" ca="1" si="84"/>
        <v>14</v>
      </c>
      <c r="O168" s="331">
        <f t="shared" ca="1" si="84"/>
        <v>41</v>
      </c>
      <c r="P168" s="331">
        <f t="shared" ca="1" si="84"/>
        <v>29</v>
      </c>
      <c r="Q168" s="331">
        <f t="shared" ca="1" si="84"/>
        <v>42</v>
      </c>
      <c r="R168" s="331">
        <f t="shared" ca="1" si="84"/>
        <v>42</v>
      </c>
      <c r="S168" s="331">
        <f t="shared" ca="1" si="84"/>
        <v>120</v>
      </c>
      <c r="T168" s="331">
        <f t="shared" ca="1" si="84"/>
        <v>176</v>
      </c>
      <c r="U168" s="331">
        <f t="shared" ca="1" si="84"/>
        <v>228</v>
      </c>
      <c r="V168" s="331">
        <f t="shared" ca="1" si="84"/>
        <v>156</v>
      </c>
      <c r="W168" s="331">
        <f t="shared" ca="1" si="84"/>
        <v>199</v>
      </c>
      <c r="X168" s="331">
        <f t="shared" ca="1" si="84"/>
        <v>113</v>
      </c>
      <c r="Y168" s="331">
        <f t="shared" ca="1" si="84"/>
        <v>92</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446</v>
      </c>
      <c r="C171" s="342">
        <f t="shared" si="85"/>
        <v>510</v>
      </c>
      <c r="D171" s="342">
        <f t="shared" si="85"/>
        <v>506</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509</v>
      </c>
      <c r="F171" s="342">
        <f t="shared" si="85"/>
        <v>481</v>
      </c>
      <c r="G171" s="342">
        <f t="shared" si="85"/>
        <v>406</v>
      </c>
      <c r="H171" s="342">
        <f t="shared" si="85"/>
        <v>482</v>
      </c>
      <c r="I171" s="342">
        <f t="shared" si="85"/>
        <v>475</v>
      </c>
      <c r="J171" s="342">
        <f t="shared" si="85"/>
        <v>370</v>
      </c>
      <c r="K171" s="342">
        <f t="shared" si="85"/>
        <v>372</v>
      </c>
      <c r="L171" s="342">
        <f t="shared" si="85"/>
        <v>372</v>
      </c>
      <c r="M171" s="342">
        <f t="shared" si="85"/>
        <v>334</v>
      </c>
      <c r="N171" s="342">
        <f t="shared" si="85"/>
        <v>351</v>
      </c>
      <c r="O171" s="342">
        <f t="shared" si="85"/>
        <v>367</v>
      </c>
      <c r="P171" s="342">
        <f t="shared" si="85"/>
        <v>363</v>
      </c>
      <c r="Q171" s="342">
        <f t="shared" si="85"/>
        <v>368</v>
      </c>
      <c r="R171" s="342">
        <f t="shared" si="85"/>
        <v>374</v>
      </c>
      <c r="S171" s="342">
        <f t="shared" si="85"/>
        <v>453</v>
      </c>
      <c r="T171" s="342">
        <f t="shared" si="85"/>
        <v>436</v>
      </c>
      <c r="U171" s="342">
        <f t="shared" si="85"/>
        <v>438</v>
      </c>
      <c r="V171" s="342">
        <f t="shared" si="85"/>
        <v>466</v>
      </c>
      <c r="W171" s="342">
        <f t="shared" si="85"/>
        <v>508</v>
      </c>
      <c r="X171" s="342">
        <f t="shared" si="85"/>
        <v>485</v>
      </c>
      <c r="Y171" s="343">
        <f t="shared" si="85"/>
        <v>468</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230</v>
      </c>
      <c r="D172" s="345">
        <f t="shared" si="86"/>
        <v>270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224</v>
      </c>
      <c r="I172" s="345">
        <f t="shared" si="86"/>
        <v>279</v>
      </c>
      <c r="J172" s="345">
        <f t="shared" si="86"/>
        <v>236</v>
      </c>
      <c r="K172" s="345">
        <f t="shared" si="86"/>
        <v>231</v>
      </c>
      <c r="L172" s="345">
        <f t="shared" si="86"/>
        <v>180</v>
      </c>
      <c r="M172" s="345">
        <f t="shared" si="86"/>
        <v>182</v>
      </c>
      <c r="N172" s="345">
        <f t="shared" si="86"/>
        <v>176</v>
      </c>
      <c r="O172" s="345">
        <f t="shared" si="86"/>
        <v>179</v>
      </c>
      <c r="P172" s="345">
        <f t="shared" si="86"/>
        <v>180</v>
      </c>
      <c r="Q172" s="345">
        <f t="shared" si="86"/>
        <v>176</v>
      </c>
      <c r="R172" s="345">
        <f t="shared" si="86"/>
        <v>179</v>
      </c>
      <c r="S172" s="345">
        <f t="shared" si="86"/>
        <v>190</v>
      </c>
      <c r="T172" s="345">
        <f t="shared" si="86"/>
        <v>129</v>
      </c>
      <c r="U172" s="345">
        <f t="shared" si="86"/>
        <v>118</v>
      </c>
      <c r="V172" s="345">
        <f t="shared" si="86"/>
        <v>184</v>
      </c>
      <c r="W172" s="345">
        <f t="shared" si="86"/>
        <v>189</v>
      </c>
      <c r="X172" s="345">
        <f t="shared" si="86"/>
        <v>225</v>
      </c>
      <c r="Y172" s="346">
        <f t="shared" si="86"/>
        <v>209</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4"/>
  <sheetViews>
    <sheetView showGridLines="0" tabSelected="1" topLeftCell="B1" zoomScale="60" zoomScaleNormal="60" workbookViewId="0">
      <pane ySplit="2" topLeftCell="A4" activePane="bottomLeft" state="frozen"/>
      <selection pane="bottomLeft" activeCell="C100" sqref="C100"/>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5"/>
    </row>
    <row r="2" spans="1:75" s="360" customFormat="1" ht="25.5" customHeight="1" x14ac:dyDescent="0.2">
      <c r="A2" s="365" t="s">
        <v>60</v>
      </c>
      <c r="B2" s="366" t="s">
        <v>59</v>
      </c>
      <c r="C2" s="366" t="s">
        <v>58</v>
      </c>
      <c r="D2" s="366" t="s">
        <v>9</v>
      </c>
      <c r="E2" s="366"/>
      <c r="F2" s="625">
        <v>1</v>
      </c>
      <c r="G2" s="367">
        <v>2</v>
      </c>
      <c r="H2" s="367">
        <v>3</v>
      </c>
      <c r="I2" s="367">
        <v>4</v>
      </c>
      <c r="J2" s="367">
        <v>5</v>
      </c>
      <c r="K2" s="367">
        <v>6</v>
      </c>
      <c r="L2" s="367">
        <v>7</v>
      </c>
      <c r="M2" s="367">
        <v>8</v>
      </c>
      <c r="N2" s="367">
        <v>9</v>
      </c>
      <c r="O2" s="367">
        <v>10</v>
      </c>
      <c r="P2" s="367">
        <v>11</v>
      </c>
      <c r="Q2" s="367">
        <v>12</v>
      </c>
      <c r="R2" s="367">
        <v>13</v>
      </c>
      <c r="S2" s="367">
        <v>14</v>
      </c>
      <c r="T2" s="625">
        <v>15</v>
      </c>
      <c r="U2" s="367">
        <v>16</v>
      </c>
      <c r="V2" s="367">
        <v>17</v>
      </c>
      <c r="W2" s="367">
        <v>18</v>
      </c>
      <c r="X2" s="367">
        <v>19</v>
      </c>
      <c r="Y2" s="367">
        <v>20</v>
      </c>
      <c r="Z2" s="367">
        <v>21</v>
      </c>
      <c r="AA2" s="367">
        <v>22</v>
      </c>
      <c r="AB2" s="367">
        <v>23</v>
      </c>
      <c r="AC2" s="481">
        <v>24</v>
      </c>
      <c r="AD2" s="366" t="s">
        <v>21</v>
      </c>
      <c r="AE2" s="368" t="s">
        <v>205</v>
      </c>
      <c r="AF2" s="636" t="s">
        <v>10</v>
      </c>
    </row>
    <row r="3" spans="1:75" s="360" customFormat="1" ht="12.75" customHeight="1" x14ac:dyDescent="0.2">
      <c r="A3" s="639" t="s">
        <v>63</v>
      </c>
      <c r="B3" s="640" t="s">
        <v>62</v>
      </c>
      <c r="C3" s="539" t="s">
        <v>152</v>
      </c>
      <c r="D3" s="539"/>
      <c r="E3" s="539"/>
      <c r="F3" s="633">
        <v>150</v>
      </c>
      <c r="G3" s="633">
        <v>120</v>
      </c>
      <c r="H3" s="633">
        <v>120</v>
      </c>
      <c r="I3" s="633">
        <v>120</v>
      </c>
      <c r="J3" s="633">
        <v>120</v>
      </c>
      <c r="K3" s="633">
        <v>120</v>
      </c>
      <c r="L3" s="633">
        <v>70</v>
      </c>
      <c r="M3" s="633">
        <v>70</v>
      </c>
      <c r="N3" s="633">
        <v>85</v>
      </c>
      <c r="O3" s="633">
        <v>95</v>
      </c>
      <c r="P3" s="633">
        <v>140</v>
      </c>
      <c r="Q3" s="633">
        <v>140</v>
      </c>
      <c r="R3" s="633">
        <v>140</v>
      </c>
      <c r="S3" s="633">
        <v>140</v>
      </c>
      <c r="T3" s="633">
        <v>140</v>
      </c>
      <c r="U3" s="633">
        <v>140</v>
      </c>
      <c r="V3" s="633">
        <v>140</v>
      </c>
      <c r="W3" s="633">
        <v>140</v>
      </c>
      <c r="X3" s="633">
        <v>130</v>
      </c>
      <c r="Y3" s="633">
        <v>60</v>
      </c>
      <c r="Z3" s="633">
        <v>80</v>
      </c>
      <c r="AA3" s="633">
        <v>80</v>
      </c>
      <c r="AB3" s="633">
        <v>150</v>
      </c>
      <c r="AC3" s="633">
        <v>100</v>
      </c>
      <c r="AD3" s="691">
        <f>SUM(F3:AC3)</f>
        <v>2790</v>
      </c>
      <c r="AE3" s="588">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9" t="s">
        <v>65</v>
      </c>
      <c r="B4" s="640" t="s">
        <v>62</v>
      </c>
      <c r="C4" s="539"/>
      <c r="D4" s="539"/>
      <c r="E4" s="539"/>
      <c r="F4" s="633">
        <v>25</v>
      </c>
      <c r="G4" s="633">
        <v>25</v>
      </c>
      <c r="H4" s="633">
        <v>25</v>
      </c>
      <c r="I4" s="633">
        <v>25</v>
      </c>
      <c r="J4" s="633">
        <v>25</v>
      </c>
      <c r="K4" s="633">
        <v>25</v>
      </c>
      <c r="L4" s="633">
        <v>25</v>
      </c>
      <c r="M4" s="633">
        <v>25</v>
      </c>
      <c r="N4" s="695">
        <v>25</v>
      </c>
      <c r="O4" s="633">
        <v>25</v>
      </c>
      <c r="P4" s="633">
        <v>25</v>
      </c>
      <c r="Q4" s="633">
        <v>25</v>
      </c>
      <c r="R4" s="633">
        <v>25</v>
      </c>
      <c r="S4" s="633">
        <v>25</v>
      </c>
      <c r="T4" s="633">
        <v>25</v>
      </c>
      <c r="U4" s="633">
        <v>25</v>
      </c>
      <c r="V4" s="633">
        <v>25</v>
      </c>
      <c r="W4" s="633">
        <v>25</v>
      </c>
      <c r="X4" s="633">
        <v>25</v>
      </c>
      <c r="Y4" s="633">
        <v>25</v>
      </c>
      <c r="Z4" s="633">
        <v>25</v>
      </c>
      <c r="AA4" s="633">
        <v>25</v>
      </c>
      <c r="AB4" s="633">
        <v>25</v>
      </c>
      <c r="AC4" s="633">
        <v>25</v>
      </c>
      <c r="AD4" s="691">
        <f>SUM(F4:AC4)</f>
        <v>600</v>
      </c>
      <c r="AE4" s="588">
        <f t="shared" si="0"/>
        <v>0</v>
      </c>
      <c r="AF4" s="538" t="str">
        <f t="shared" si="1"/>
        <v>sell</v>
      </c>
    </row>
    <row r="5" spans="1:75" s="360" customFormat="1" ht="12.75" customHeight="1" x14ac:dyDescent="0.2">
      <c r="A5" s="639" t="s">
        <v>64</v>
      </c>
      <c r="B5" s="539" t="s">
        <v>61</v>
      </c>
      <c r="C5" s="539" t="s">
        <v>279</v>
      </c>
      <c r="D5" s="539"/>
      <c r="E5" s="539"/>
      <c r="F5" s="633">
        <v>11</v>
      </c>
      <c r="G5" s="633">
        <v>1</v>
      </c>
      <c r="H5" s="633">
        <v>1</v>
      </c>
      <c r="I5" s="633">
        <v>1</v>
      </c>
      <c r="J5" s="633">
        <v>1</v>
      </c>
      <c r="K5" s="633">
        <v>22</v>
      </c>
      <c r="L5" s="633">
        <v>22</v>
      </c>
      <c r="M5" s="633">
        <v>28</v>
      </c>
      <c r="N5" s="633">
        <v>28</v>
      </c>
      <c r="O5" s="633">
        <v>28</v>
      </c>
      <c r="P5" s="633">
        <v>28</v>
      </c>
      <c r="Q5" s="633">
        <v>28</v>
      </c>
      <c r="R5" s="633">
        <v>28</v>
      </c>
      <c r="S5" s="633">
        <v>28</v>
      </c>
      <c r="T5" s="633">
        <v>28</v>
      </c>
      <c r="U5" s="633">
        <v>28</v>
      </c>
      <c r="V5" s="633">
        <v>28</v>
      </c>
      <c r="W5" s="633">
        <v>28</v>
      </c>
      <c r="X5" s="633">
        <v>28</v>
      </c>
      <c r="Y5" s="633">
        <v>28</v>
      </c>
      <c r="Z5" s="633">
        <v>28</v>
      </c>
      <c r="AA5" s="633">
        <v>28</v>
      </c>
      <c r="AB5" s="633">
        <v>28</v>
      </c>
      <c r="AC5" s="633">
        <v>28</v>
      </c>
      <c r="AD5" s="691">
        <f t="shared" ref="AD5:AD10" si="2">SUM(E5:AC5)</f>
        <v>535</v>
      </c>
      <c r="AE5" s="588">
        <f t="shared" si="0"/>
        <v>0</v>
      </c>
      <c r="AF5" s="538" t="str">
        <f t="shared" si="1"/>
        <v>sell</v>
      </c>
    </row>
    <row r="6" spans="1:75" s="360" customFormat="1" ht="12.75" customHeight="1" x14ac:dyDescent="0.2">
      <c r="A6" s="641"/>
      <c r="B6" s="624"/>
      <c r="C6" s="622"/>
      <c r="D6" s="623"/>
      <c r="E6" s="539"/>
      <c r="F6" s="695"/>
      <c r="G6" s="695"/>
      <c r="H6" s="695"/>
      <c r="I6" s="695"/>
      <c r="J6" s="695"/>
      <c r="K6" s="695"/>
      <c r="L6" s="695"/>
      <c r="M6" s="606"/>
      <c r="N6" s="606"/>
      <c r="O6" s="606"/>
      <c r="P6" s="606"/>
      <c r="Q6" s="606"/>
      <c r="R6" s="606"/>
      <c r="S6" s="606"/>
      <c r="T6" s="606"/>
      <c r="U6" s="606"/>
      <c r="V6" s="606"/>
      <c r="W6" s="606"/>
      <c r="X6" s="606"/>
      <c r="Y6" s="606"/>
      <c r="Z6" s="606"/>
      <c r="AA6" s="606"/>
      <c r="AB6" s="606"/>
      <c r="AC6" s="695"/>
      <c r="AD6" s="691">
        <f t="shared" si="2"/>
        <v>0</v>
      </c>
      <c r="AE6" s="588">
        <f t="shared" si="0"/>
        <v>0</v>
      </c>
      <c r="AF6" s="538" t="str">
        <f t="shared" si="1"/>
        <v>sell</v>
      </c>
    </row>
    <row r="7" spans="1:75" s="360" customFormat="1" ht="12.75" customHeight="1" x14ac:dyDescent="0.2">
      <c r="A7" s="641" t="s">
        <v>3</v>
      </c>
      <c r="B7" s="539"/>
      <c r="C7" s="539" t="s">
        <v>263</v>
      </c>
      <c r="D7" s="539"/>
      <c r="E7" s="606"/>
      <c r="F7" s="633">
        <v>-103</v>
      </c>
      <c r="G7" s="633">
        <v>-103</v>
      </c>
      <c r="H7" s="633">
        <v>-103</v>
      </c>
      <c r="I7" s="633">
        <v>-103</v>
      </c>
      <c r="J7" s="633">
        <v>-103</v>
      </c>
      <c r="K7" s="633">
        <v>-103</v>
      </c>
      <c r="L7" s="633">
        <v>-103</v>
      </c>
      <c r="M7" s="633">
        <v>-103</v>
      </c>
      <c r="N7" s="633">
        <v>-103</v>
      </c>
      <c r="O7" s="633">
        <v>-103</v>
      </c>
      <c r="P7" s="633">
        <v>-103</v>
      </c>
      <c r="Q7" s="633">
        <v>-103</v>
      </c>
      <c r="R7" s="633">
        <v>-103</v>
      </c>
      <c r="S7" s="633">
        <v>-103</v>
      </c>
      <c r="T7" s="633">
        <v>-103</v>
      </c>
      <c r="U7" s="633">
        <v>-103</v>
      </c>
      <c r="V7" s="633">
        <v>-103</v>
      </c>
      <c r="W7" s="633">
        <v>-103</v>
      </c>
      <c r="X7" s="633">
        <v>-103</v>
      </c>
      <c r="Y7" s="633">
        <v>-103</v>
      </c>
      <c r="Z7" s="633">
        <v>-103</v>
      </c>
      <c r="AA7" s="633">
        <v>-103</v>
      </c>
      <c r="AB7" s="633">
        <v>-103</v>
      </c>
      <c r="AC7" s="633">
        <v>-103</v>
      </c>
      <c r="AD7" s="599">
        <f t="shared" si="2"/>
        <v>-2472</v>
      </c>
      <c r="AE7" s="588">
        <f t="shared" si="0"/>
        <v>0</v>
      </c>
      <c r="AF7" s="538" t="str">
        <f t="shared" si="1"/>
        <v>buy</v>
      </c>
    </row>
    <row r="8" spans="1:75" s="360" customFormat="1" ht="12.75" customHeight="1" x14ac:dyDescent="0.2">
      <c r="A8" s="641" t="s">
        <v>66</v>
      </c>
      <c r="B8" s="539"/>
      <c r="C8" s="622" t="s">
        <v>152</v>
      </c>
      <c r="D8" s="539"/>
      <c r="E8" s="606"/>
      <c r="F8" s="633">
        <v>25</v>
      </c>
      <c r="G8" s="633">
        <v>25</v>
      </c>
      <c r="H8" s="633">
        <v>25</v>
      </c>
      <c r="I8" s="633">
        <v>25</v>
      </c>
      <c r="J8" s="633">
        <v>25</v>
      </c>
      <c r="K8" s="633">
        <v>25</v>
      </c>
      <c r="L8" s="695"/>
      <c r="M8" s="695"/>
      <c r="N8" s="695"/>
      <c r="O8" s="695"/>
      <c r="P8" s="695"/>
      <c r="Q8" s="695"/>
      <c r="R8" s="695"/>
      <c r="S8" s="695"/>
      <c r="T8" s="695"/>
      <c r="U8" s="695"/>
      <c r="V8" s="695"/>
      <c r="W8" s="695"/>
      <c r="X8" s="695"/>
      <c r="Y8" s="695"/>
      <c r="Z8" s="695"/>
      <c r="AA8" s="695"/>
      <c r="AB8" s="633">
        <v>25</v>
      </c>
      <c r="AC8" s="633">
        <v>25</v>
      </c>
      <c r="AD8" s="599">
        <f t="shared" si="2"/>
        <v>200</v>
      </c>
      <c r="AE8" s="588">
        <f t="shared" si="0"/>
        <v>0</v>
      </c>
      <c r="AF8" s="538" t="str">
        <f t="shared" si="1"/>
        <v>sell</v>
      </c>
    </row>
    <row r="9" spans="1:75" s="360" customFormat="1" ht="12.75" customHeight="1" x14ac:dyDescent="0.2">
      <c r="A9" s="641" t="s">
        <v>225</v>
      </c>
      <c r="B9" s="539"/>
      <c r="C9" s="622" t="s">
        <v>152</v>
      </c>
      <c r="D9" s="539"/>
      <c r="E9" s="539"/>
      <c r="F9" s="633">
        <v>22</v>
      </c>
      <c r="G9" s="633">
        <v>22</v>
      </c>
      <c r="H9" s="633">
        <v>22</v>
      </c>
      <c r="I9" s="633">
        <v>22</v>
      </c>
      <c r="J9" s="633">
        <v>22</v>
      </c>
      <c r="K9" s="633">
        <v>22</v>
      </c>
      <c r="L9" s="695"/>
      <c r="M9" s="695"/>
      <c r="N9" s="695"/>
      <c r="O9" s="695"/>
      <c r="P9" s="695"/>
      <c r="Q9" s="695"/>
      <c r="R9" s="695"/>
      <c r="S9" s="695"/>
      <c r="T9" s="695"/>
      <c r="U9" s="695"/>
      <c r="V9" s="695"/>
      <c r="W9" s="695"/>
      <c r="X9" s="695"/>
      <c r="Y9" s="695"/>
      <c r="Z9" s="695"/>
      <c r="AA9" s="695"/>
      <c r="AB9" s="633">
        <v>22</v>
      </c>
      <c r="AC9" s="633">
        <v>22</v>
      </c>
      <c r="AD9" s="719">
        <f>SUM(E9:AC9)</f>
        <v>176</v>
      </c>
      <c r="AE9" s="588">
        <f t="shared" ref="AE9:AE14" si="3">AD9*D9</f>
        <v>0</v>
      </c>
      <c r="AF9" s="538" t="str">
        <f t="shared" ref="AF9:AF14" si="4">IF(AD9&lt;0,"buy","sell")</f>
        <v>sell</v>
      </c>
    </row>
    <row r="10" spans="1:75" s="360" customFormat="1" ht="12.75" customHeight="1" x14ac:dyDescent="0.2">
      <c r="A10" s="641" t="s">
        <v>372</v>
      </c>
      <c r="B10" s="638"/>
      <c r="C10" s="539" t="s">
        <v>152</v>
      </c>
      <c r="D10" s="623"/>
      <c r="E10" s="539"/>
      <c r="F10" s="633">
        <v>3</v>
      </c>
      <c r="G10" s="633">
        <v>3</v>
      </c>
      <c r="H10" s="633">
        <v>3</v>
      </c>
      <c r="I10" s="633">
        <v>3</v>
      </c>
      <c r="J10" s="633">
        <v>3</v>
      </c>
      <c r="K10" s="633">
        <v>3</v>
      </c>
      <c r="L10" s="704"/>
      <c r="M10" s="695"/>
      <c r="N10" s="695"/>
      <c r="O10" s="695"/>
      <c r="P10" s="695"/>
      <c r="Q10" s="695"/>
      <c r="R10" s="695"/>
      <c r="S10" s="695"/>
      <c r="T10" s="695"/>
      <c r="U10" s="695"/>
      <c r="V10" s="695"/>
      <c r="W10" s="695"/>
      <c r="X10" s="695"/>
      <c r="Y10" s="695"/>
      <c r="Z10" s="695"/>
      <c r="AA10" s="695"/>
      <c r="AB10" s="633">
        <v>3</v>
      </c>
      <c r="AC10" s="633">
        <v>3</v>
      </c>
      <c r="AD10" s="691">
        <f t="shared" si="2"/>
        <v>24</v>
      </c>
      <c r="AE10" s="588">
        <f t="shared" si="3"/>
        <v>0</v>
      </c>
      <c r="AF10" s="538" t="str">
        <f t="shared" si="4"/>
        <v>sell</v>
      </c>
    </row>
    <row r="11" spans="1:75" s="360" customFormat="1" ht="12.75" customHeight="1" x14ac:dyDescent="0.2">
      <c r="A11" s="641" t="s">
        <v>64</v>
      </c>
      <c r="B11" s="638"/>
      <c r="C11" s="539" t="s">
        <v>152</v>
      </c>
      <c r="D11" s="623"/>
      <c r="E11" s="539"/>
      <c r="F11" s="633">
        <v>3</v>
      </c>
      <c r="G11" s="633">
        <v>3</v>
      </c>
      <c r="H11" s="633">
        <v>3</v>
      </c>
      <c r="I11" s="633">
        <v>3</v>
      </c>
      <c r="J11" s="633">
        <v>3</v>
      </c>
      <c r="K11" s="633">
        <v>3</v>
      </c>
      <c r="L11" s="695"/>
      <c r="M11" s="695"/>
      <c r="N11" s="695"/>
      <c r="O11" s="695"/>
      <c r="P11" s="695"/>
      <c r="Q11" s="695"/>
      <c r="R11" s="695"/>
      <c r="S11" s="695"/>
      <c r="T11" s="695"/>
      <c r="U11" s="695"/>
      <c r="V11" s="695"/>
      <c r="W11" s="695"/>
      <c r="X11" s="695"/>
      <c r="Y11" s="695"/>
      <c r="Z11" s="695"/>
      <c r="AA11" s="695"/>
      <c r="AB11" s="633">
        <v>3</v>
      </c>
      <c r="AC11" s="633">
        <v>3</v>
      </c>
      <c r="AD11" s="691">
        <f>SUM(E11:AC11)</f>
        <v>24</v>
      </c>
      <c r="AE11" s="588">
        <f t="shared" si="3"/>
        <v>0</v>
      </c>
      <c r="AF11" s="538" t="str">
        <f t="shared" si="4"/>
        <v>sell</v>
      </c>
    </row>
    <row r="12" spans="1:75" s="360" customFormat="1" ht="12.75" customHeight="1" x14ac:dyDescent="0.2">
      <c r="A12" s="641" t="s">
        <v>365</v>
      </c>
      <c r="B12" s="638"/>
      <c r="C12" s="539" t="s">
        <v>152</v>
      </c>
      <c r="D12" s="623"/>
      <c r="E12" s="539"/>
      <c r="F12" s="633">
        <v>25</v>
      </c>
      <c r="G12" s="633">
        <v>25</v>
      </c>
      <c r="H12" s="633">
        <v>25</v>
      </c>
      <c r="I12" s="633">
        <v>25</v>
      </c>
      <c r="J12" s="633">
        <v>25</v>
      </c>
      <c r="K12" s="633">
        <v>25</v>
      </c>
      <c r="L12" s="718"/>
      <c r="M12" s="718"/>
      <c r="N12" s="718"/>
      <c r="O12" s="718"/>
      <c r="P12" s="718"/>
      <c r="Q12" s="718"/>
      <c r="R12" s="718"/>
      <c r="S12" s="718"/>
      <c r="T12" s="718"/>
      <c r="U12" s="718"/>
      <c r="V12" s="718"/>
      <c r="W12" s="718"/>
      <c r="X12" s="718"/>
      <c r="Y12" s="718"/>
      <c r="Z12" s="718"/>
      <c r="AA12" s="718"/>
      <c r="AB12" s="633">
        <v>25</v>
      </c>
      <c r="AC12" s="633">
        <v>25</v>
      </c>
      <c r="AD12" s="691">
        <f>SUM(E12:AC12)</f>
        <v>200</v>
      </c>
      <c r="AE12" s="588">
        <f t="shared" si="3"/>
        <v>0</v>
      </c>
      <c r="AF12" s="538" t="str">
        <f t="shared" si="4"/>
        <v>sell</v>
      </c>
    </row>
    <row r="13" spans="1:75" s="360" customFormat="1" ht="12.75" customHeight="1" x14ac:dyDescent="0.2">
      <c r="A13" s="641" t="s">
        <v>66</v>
      </c>
      <c r="B13" s="638"/>
      <c r="C13" s="622" t="s">
        <v>152</v>
      </c>
      <c r="D13" s="623"/>
      <c r="E13" s="539"/>
      <c r="F13" s="633">
        <v>25</v>
      </c>
      <c r="G13" s="633">
        <v>25</v>
      </c>
      <c r="H13" s="633">
        <v>25</v>
      </c>
      <c r="I13" s="633">
        <v>25</v>
      </c>
      <c r="J13" s="633">
        <v>25</v>
      </c>
      <c r="K13" s="633">
        <v>25</v>
      </c>
      <c r="L13" s="717"/>
      <c r="M13" s="717"/>
      <c r="N13" s="717"/>
      <c r="O13" s="717"/>
      <c r="P13" s="717"/>
      <c r="Q13" s="717"/>
      <c r="R13" s="717"/>
      <c r="S13" s="717"/>
      <c r="T13" s="717"/>
      <c r="U13" s="717"/>
      <c r="V13" s="717"/>
      <c r="W13" s="717"/>
      <c r="X13" s="717"/>
      <c r="Y13" s="717"/>
      <c r="Z13" s="717"/>
      <c r="AA13" s="717"/>
      <c r="AB13" s="633">
        <v>25</v>
      </c>
      <c r="AC13" s="633">
        <v>25</v>
      </c>
      <c r="AD13" s="691">
        <f>SUM(E13:AC13)</f>
        <v>200</v>
      </c>
      <c r="AE13" s="588">
        <f t="shared" si="3"/>
        <v>0</v>
      </c>
      <c r="AF13" s="538" t="str">
        <f t="shared" si="4"/>
        <v>sell</v>
      </c>
    </row>
    <row r="14" spans="1:75" s="360" customFormat="1" ht="12.75" customHeight="1" x14ac:dyDescent="0.2">
      <c r="A14" s="641" t="s">
        <v>365</v>
      </c>
      <c r="B14" s="638"/>
      <c r="C14" s="539" t="s">
        <v>152</v>
      </c>
      <c r="D14" s="623"/>
      <c r="E14" s="539"/>
      <c r="F14" s="695"/>
      <c r="G14" s="695"/>
      <c r="H14" s="695"/>
      <c r="I14" s="695"/>
      <c r="J14" s="695"/>
      <c r="K14" s="695"/>
      <c r="L14" s="695"/>
      <c r="M14" s="717"/>
      <c r="N14" s="717"/>
      <c r="O14" s="717"/>
      <c r="P14" s="717"/>
      <c r="Q14" s="717"/>
      <c r="R14" s="717"/>
      <c r="S14" s="717"/>
      <c r="T14" s="717"/>
      <c r="U14" s="717"/>
      <c r="V14" s="717"/>
      <c r="W14" s="717"/>
      <c r="X14" s="717"/>
      <c r="Y14" s="717"/>
      <c r="Z14" s="717"/>
      <c r="AA14" s="717"/>
      <c r="AB14" s="717"/>
      <c r="AC14" s="704"/>
      <c r="AD14" s="691">
        <f>SUM(E14:AC14)</f>
        <v>0</v>
      </c>
      <c r="AE14" s="588">
        <f t="shared" si="3"/>
        <v>0</v>
      </c>
      <c r="AF14" s="538" t="str">
        <f t="shared" si="4"/>
        <v>sell</v>
      </c>
    </row>
    <row r="15" spans="1:75" s="360" customFormat="1" ht="12.75" customHeight="1" x14ac:dyDescent="0.2">
      <c r="A15" s="641" t="s">
        <v>365</v>
      </c>
      <c r="B15" s="640"/>
      <c r="C15" s="539" t="s">
        <v>152</v>
      </c>
      <c r="D15" s="642"/>
      <c r="E15" s="539"/>
      <c r="F15" s="718"/>
      <c r="G15" s="717"/>
      <c r="H15" s="717"/>
      <c r="I15" s="717"/>
      <c r="J15" s="717"/>
      <c r="K15" s="717"/>
      <c r="L15" s="717"/>
      <c r="M15" s="695"/>
      <c r="N15" s="695"/>
      <c r="O15" s="695"/>
      <c r="P15" s="695"/>
      <c r="Q15" s="695"/>
      <c r="R15" s="695"/>
      <c r="S15" s="695"/>
      <c r="T15" s="695"/>
      <c r="U15" s="695"/>
      <c r="V15" s="695"/>
      <c r="W15" s="695"/>
      <c r="X15" s="695"/>
      <c r="Y15" s="695"/>
      <c r="Z15" s="695"/>
      <c r="AA15" s="695"/>
      <c r="AB15" s="695"/>
      <c r="AC15" s="717"/>
      <c r="AD15" s="691">
        <f>SUM(F15:AC15)</f>
        <v>0</v>
      </c>
      <c r="AE15" s="588">
        <f t="shared" si="0"/>
        <v>0</v>
      </c>
      <c r="AF15" s="538" t="str">
        <f t="shared" si="1"/>
        <v>sell</v>
      </c>
    </row>
    <row r="16" spans="1:75" s="360" customFormat="1" ht="12.75" customHeight="1" x14ac:dyDescent="0.2">
      <c r="A16" s="641" t="s">
        <v>365</v>
      </c>
      <c r="B16" s="640"/>
      <c r="C16" s="539" t="s">
        <v>152</v>
      </c>
      <c r="D16" s="642"/>
      <c r="E16" s="539"/>
      <c r="F16" s="718"/>
      <c r="G16" s="717"/>
      <c r="H16" s="717"/>
      <c r="I16" s="717"/>
      <c r="J16" s="717"/>
      <c r="K16" s="717"/>
      <c r="L16" s="717"/>
      <c r="M16" s="695"/>
      <c r="N16" s="695"/>
      <c r="O16" s="695"/>
      <c r="P16" s="695"/>
      <c r="Q16" s="695"/>
      <c r="R16" s="695"/>
      <c r="S16" s="695"/>
      <c r="T16" s="695"/>
      <c r="U16" s="695"/>
      <c r="V16" s="695"/>
      <c r="W16" s="695"/>
      <c r="X16" s="695"/>
      <c r="Y16" s="695"/>
      <c r="Z16" s="695"/>
      <c r="AA16" s="695"/>
      <c r="AB16" s="695"/>
      <c r="AC16" s="717"/>
      <c r="AD16" s="691">
        <f>SUM(F16:AC16)</f>
        <v>0</v>
      </c>
      <c r="AE16" s="588">
        <f>AD16*D16</f>
        <v>0</v>
      </c>
      <c r="AF16" s="538" t="str">
        <f>IF(AD16&lt;0,"buy","sell")</f>
        <v>sell</v>
      </c>
    </row>
    <row r="17" spans="1:32" s="360" customFormat="1" x14ac:dyDescent="0.2">
      <c r="A17" s="674" t="s">
        <v>206</v>
      </c>
      <c r="B17" s="670"/>
      <c r="C17" s="670"/>
      <c r="D17" s="556"/>
      <c r="E17" s="556"/>
      <c r="F17" s="696"/>
      <c r="G17" s="696"/>
      <c r="H17" s="696"/>
      <c r="I17" s="696"/>
      <c r="J17" s="696"/>
      <c r="K17" s="696"/>
      <c r="L17" s="696"/>
      <c r="M17" s="696"/>
      <c r="N17" s="696"/>
      <c r="O17" s="696"/>
      <c r="P17" s="696"/>
      <c r="Q17" s="696"/>
      <c r="R17" s="696"/>
      <c r="S17" s="696"/>
      <c r="T17" s="696"/>
      <c r="U17" s="696"/>
      <c r="V17" s="696"/>
      <c r="W17" s="696"/>
      <c r="X17" s="696"/>
      <c r="Y17" s="696"/>
      <c r="Z17" s="696"/>
      <c r="AA17" s="696"/>
      <c r="AB17" s="696"/>
      <c r="AC17" s="707"/>
      <c r="AD17" s="597"/>
      <c r="AE17" s="409"/>
      <c r="AF17" s="637"/>
    </row>
    <row r="18" spans="1:32" s="360" customFormat="1" ht="12.75" customHeight="1" x14ac:dyDescent="0.2">
      <c r="A18" s="643" t="s">
        <v>207</v>
      </c>
      <c r="B18" s="634"/>
      <c r="C18" s="620"/>
      <c r="D18" s="620"/>
      <c r="E18" s="634"/>
      <c r="F18" s="634"/>
      <c r="G18" s="634"/>
      <c r="H18" s="634"/>
      <c r="I18" s="634"/>
      <c r="J18" s="634"/>
      <c r="K18" s="634"/>
      <c r="L18" s="634"/>
      <c r="M18" s="634"/>
      <c r="N18" s="634"/>
      <c r="O18" s="634"/>
      <c r="P18" s="634"/>
      <c r="Q18" s="634"/>
      <c r="R18" s="634"/>
      <c r="S18" s="634"/>
      <c r="T18" s="634"/>
      <c r="U18" s="634"/>
      <c r="V18" s="634"/>
      <c r="W18" s="634"/>
      <c r="X18" s="634"/>
      <c r="Y18" s="634"/>
      <c r="Z18" s="634"/>
      <c r="AA18" s="634"/>
      <c r="AB18" s="634"/>
      <c r="AC18" s="708"/>
      <c r="AD18" s="370"/>
      <c r="AE18" s="494"/>
      <c r="AF18" s="494"/>
    </row>
    <row r="19" spans="1:32" s="360" customFormat="1" hidden="1" x14ac:dyDescent="0.2">
      <c r="A19" s="644" t="s">
        <v>278</v>
      </c>
      <c r="B19" s="488" t="s">
        <v>241</v>
      </c>
      <c r="C19" s="488" t="s">
        <v>152</v>
      </c>
      <c r="D19" s="489">
        <f t="shared" ref="D19:D42" si="5">F102</f>
        <v>-0.25</v>
      </c>
      <c r="E19" s="489"/>
      <c r="F19" s="699"/>
      <c r="G19" s="686"/>
      <c r="H19" s="687"/>
      <c r="I19" s="687"/>
      <c r="J19" s="687"/>
      <c r="K19" s="687"/>
      <c r="L19" s="687"/>
      <c r="M19" s="687"/>
      <c r="N19" s="687"/>
      <c r="O19" s="687"/>
      <c r="P19" s="687"/>
      <c r="Q19" s="687"/>
      <c r="R19" s="687"/>
      <c r="S19" s="687"/>
      <c r="T19" s="687"/>
      <c r="U19" s="687"/>
      <c r="V19" s="687"/>
      <c r="W19" s="687"/>
      <c r="X19" s="687"/>
      <c r="Y19" s="687"/>
      <c r="Z19" s="687"/>
      <c r="AA19" s="687"/>
      <c r="AB19" s="687"/>
      <c r="AC19" s="703"/>
      <c r="AD19" s="598">
        <f t="shared" ref="AD19:AD89" si="6">SUM(F19:AC19)</f>
        <v>0</v>
      </c>
      <c r="AE19" s="492">
        <f t="shared" ref="AE19:AE67" si="7">AD19*D19</f>
        <v>0</v>
      </c>
      <c r="AF19" s="467" t="str">
        <f>IF(AD19&lt;0,"buy","sell")</f>
        <v>sell</v>
      </c>
    </row>
    <row r="20" spans="1:32" s="360" customFormat="1" hidden="1" x14ac:dyDescent="0.2">
      <c r="A20" s="644" t="s">
        <v>278</v>
      </c>
      <c r="B20" s="488" t="s">
        <v>241</v>
      </c>
      <c r="C20" s="488" t="s">
        <v>152</v>
      </c>
      <c r="D20" s="489">
        <f t="shared" si="5"/>
        <v>-0.25</v>
      </c>
      <c r="E20" s="489"/>
      <c r="F20" s="699"/>
      <c r="G20" s="687"/>
      <c r="H20" s="687"/>
      <c r="I20" s="687"/>
      <c r="J20" s="687"/>
      <c r="K20" s="687"/>
      <c r="L20" s="687"/>
      <c r="M20" s="687"/>
      <c r="N20" s="687"/>
      <c r="O20" s="687"/>
      <c r="P20" s="687"/>
      <c r="Q20" s="687"/>
      <c r="R20" s="687"/>
      <c r="S20" s="687"/>
      <c r="T20" s="687"/>
      <c r="U20" s="687"/>
      <c r="V20" s="687"/>
      <c r="W20" s="687"/>
      <c r="X20" s="687"/>
      <c r="Y20" s="687"/>
      <c r="Z20" s="687"/>
      <c r="AA20" s="687"/>
      <c r="AB20" s="699"/>
      <c r="AC20" s="703"/>
      <c r="AD20" s="598">
        <f t="shared" si="6"/>
        <v>0</v>
      </c>
      <c r="AE20" s="492">
        <f t="shared" si="7"/>
        <v>0</v>
      </c>
      <c r="AF20" s="467" t="str">
        <f t="shared" ref="AF20:AF42" si="8">IF(AD20&lt;0,"buy","sell")</f>
        <v>sell</v>
      </c>
    </row>
    <row r="21" spans="1:32" s="360" customFormat="1" hidden="1" x14ac:dyDescent="0.2">
      <c r="A21" s="644" t="s">
        <v>278</v>
      </c>
      <c r="B21" s="488" t="s">
        <v>241</v>
      </c>
      <c r="C21" s="488" t="s">
        <v>152</v>
      </c>
      <c r="D21" s="489">
        <f t="shared" si="5"/>
        <v>-0.25</v>
      </c>
      <c r="E21" s="489"/>
      <c r="F21" s="699"/>
      <c r="G21" s="686"/>
      <c r="H21" s="687">
        <v>0</v>
      </c>
      <c r="I21" s="687"/>
      <c r="J21" s="687"/>
      <c r="K21" s="687"/>
      <c r="L21" s="687"/>
      <c r="M21" s="687"/>
      <c r="N21" s="687"/>
      <c r="O21" s="687"/>
      <c r="P21" s="687"/>
      <c r="Q21" s="687"/>
      <c r="R21" s="687"/>
      <c r="S21" s="687"/>
      <c r="T21" s="687"/>
      <c r="U21" s="687"/>
      <c r="V21" s="687"/>
      <c r="W21" s="687"/>
      <c r="X21" s="687"/>
      <c r="Y21" s="687"/>
      <c r="Z21" s="687"/>
      <c r="AA21" s="687"/>
      <c r="AB21" s="687"/>
      <c r="AC21" s="703"/>
      <c r="AD21" s="598">
        <f t="shared" si="6"/>
        <v>0</v>
      </c>
      <c r="AE21" s="492">
        <f t="shared" si="7"/>
        <v>0</v>
      </c>
      <c r="AF21" s="467" t="str">
        <f t="shared" si="8"/>
        <v>sell</v>
      </c>
    </row>
    <row r="22" spans="1:32" s="360" customFormat="1" hidden="1" x14ac:dyDescent="0.2">
      <c r="A22" s="644" t="s">
        <v>278</v>
      </c>
      <c r="B22" s="488" t="s">
        <v>241</v>
      </c>
      <c r="C22" s="488" t="s">
        <v>152</v>
      </c>
      <c r="D22" s="489">
        <f t="shared" si="5"/>
        <v>-0.25</v>
      </c>
      <c r="E22" s="489"/>
      <c r="F22" s="699"/>
      <c r="G22" s="686"/>
      <c r="H22" s="687"/>
      <c r="I22" s="687">
        <v>0</v>
      </c>
      <c r="J22" s="687"/>
      <c r="K22" s="687"/>
      <c r="L22" s="687"/>
      <c r="M22" s="687"/>
      <c r="N22" s="687"/>
      <c r="O22" s="687"/>
      <c r="P22" s="687"/>
      <c r="Q22" s="687"/>
      <c r="R22" s="687"/>
      <c r="S22" s="687"/>
      <c r="T22" s="687"/>
      <c r="U22" s="687"/>
      <c r="V22" s="687"/>
      <c r="W22" s="687"/>
      <c r="X22" s="687"/>
      <c r="Y22" s="687"/>
      <c r="Z22" s="687"/>
      <c r="AA22" s="687"/>
      <c r="AB22" s="687"/>
      <c r="AC22" s="703"/>
      <c r="AD22" s="598">
        <f t="shared" si="6"/>
        <v>0</v>
      </c>
      <c r="AE22" s="492">
        <f t="shared" si="7"/>
        <v>0</v>
      </c>
      <c r="AF22" s="467" t="str">
        <f t="shared" si="8"/>
        <v>sell</v>
      </c>
    </row>
    <row r="23" spans="1:32" s="360" customFormat="1" hidden="1" x14ac:dyDescent="0.2">
      <c r="A23" s="644" t="s">
        <v>278</v>
      </c>
      <c r="B23" s="488" t="s">
        <v>241</v>
      </c>
      <c r="C23" s="488" t="s">
        <v>152</v>
      </c>
      <c r="D23" s="489">
        <f t="shared" si="5"/>
        <v>-0.25</v>
      </c>
      <c r="E23" s="489"/>
      <c r="F23" s="699"/>
      <c r="G23" s="686"/>
      <c r="H23" s="687"/>
      <c r="I23" s="687"/>
      <c r="J23" s="687">
        <v>0</v>
      </c>
      <c r="K23" s="687"/>
      <c r="L23" s="687"/>
      <c r="M23" s="687"/>
      <c r="N23" s="687"/>
      <c r="O23" s="687"/>
      <c r="P23" s="687"/>
      <c r="Q23" s="687"/>
      <c r="R23" s="687"/>
      <c r="S23" s="687"/>
      <c r="T23" s="687"/>
      <c r="U23" s="687"/>
      <c r="V23" s="687"/>
      <c r="W23" s="687"/>
      <c r="X23" s="687"/>
      <c r="Y23" s="687"/>
      <c r="Z23" s="687"/>
      <c r="AA23" s="687"/>
      <c r="AB23" s="687"/>
      <c r="AC23" s="703"/>
      <c r="AD23" s="598">
        <f t="shared" si="6"/>
        <v>0</v>
      </c>
      <c r="AE23" s="492">
        <f t="shared" si="7"/>
        <v>0</v>
      </c>
      <c r="AF23" s="467" t="str">
        <f>IF(AD23&lt;0,"buy","sell")</f>
        <v>sell</v>
      </c>
    </row>
    <row r="24" spans="1:32" s="360" customFormat="1" hidden="1" x14ac:dyDescent="0.2">
      <c r="A24" s="644" t="s">
        <v>278</v>
      </c>
      <c r="B24" s="488" t="s">
        <v>241</v>
      </c>
      <c r="C24" s="488" t="s">
        <v>152</v>
      </c>
      <c r="D24" s="489">
        <f t="shared" si="5"/>
        <v>-0.25</v>
      </c>
      <c r="E24" s="489"/>
      <c r="F24" s="687"/>
      <c r="G24" s="686"/>
      <c r="H24" s="687"/>
      <c r="I24" s="687"/>
      <c r="J24" s="687"/>
      <c r="K24" s="687">
        <v>0</v>
      </c>
      <c r="L24" s="687"/>
      <c r="M24" s="687"/>
      <c r="N24" s="687"/>
      <c r="O24" s="687"/>
      <c r="P24" s="687"/>
      <c r="Q24" s="687"/>
      <c r="R24" s="687"/>
      <c r="S24" s="687"/>
      <c r="T24" s="687"/>
      <c r="U24" s="687"/>
      <c r="V24" s="687"/>
      <c r="W24" s="687"/>
      <c r="X24" s="687"/>
      <c r="Y24" s="687"/>
      <c r="Z24" s="687"/>
      <c r="AA24" s="687"/>
      <c r="AB24" s="687"/>
      <c r="AC24" s="709"/>
      <c r="AD24" s="598">
        <f t="shared" si="6"/>
        <v>0</v>
      </c>
      <c r="AE24" s="492">
        <f t="shared" si="7"/>
        <v>0</v>
      </c>
      <c r="AF24" s="467" t="str">
        <f t="shared" si="8"/>
        <v>sell</v>
      </c>
    </row>
    <row r="25" spans="1:32" s="360" customFormat="1" hidden="1" x14ac:dyDescent="0.2">
      <c r="A25" s="644" t="s">
        <v>278</v>
      </c>
      <c r="B25" s="488" t="s">
        <v>241</v>
      </c>
      <c r="C25" s="488" t="s">
        <v>152</v>
      </c>
      <c r="D25" s="489">
        <f t="shared" si="5"/>
        <v>-0.25</v>
      </c>
      <c r="E25" s="489"/>
      <c r="F25" s="687"/>
      <c r="G25" s="686"/>
      <c r="H25" s="687"/>
      <c r="I25" s="687"/>
      <c r="J25" s="687"/>
      <c r="K25" s="687"/>
      <c r="L25" s="687">
        <v>0</v>
      </c>
      <c r="M25" s="687"/>
      <c r="N25" s="687"/>
      <c r="O25" s="687"/>
      <c r="P25" s="687"/>
      <c r="Q25" s="687"/>
      <c r="R25" s="687"/>
      <c r="S25" s="687"/>
      <c r="T25" s="687"/>
      <c r="U25" s="687"/>
      <c r="V25" s="687"/>
      <c r="W25" s="687"/>
      <c r="X25" s="687"/>
      <c r="Y25" s="687"/>
      <c r="Z25" s="687"/>
      <c r="AA25" s="687"/>
      <c r="AB25" s="687"/>
      <c r="AC25" s="709"/>
      <c r="AD25" s="598">
        <f t="shared" si="6"/>
        <v>0</v>
      </c>
      <c r="AE25" s="492">
        <f t="shared" si="7"/>
        <v>0</v>
      </c>
      <c r="AF25" s="467" t="str">
        <f t="shared" si="8"/>
        <v>sell</v>
      </c>
    </row>
    <row r="26" spans="1:32" s="360" customFormat="1" hidden="1" x14ac:dyDescent="0.2">
      <c r="A26" s="644" t="s">
        <v>278</v>
      </c>
      <c r="B26" s="488" t="s">
        <v>241</v>
      </c>
      <c r="C26" s="488" t="s">
        <v>152</v>
      </c>
      <c r="D26" s="489">
        <f t="shared" si="5"/>
        <v>-0.25</v>
      </c>
      <c r="E26" s="489"/>
      <c r="F26" s="687"/>
      <c r="G26" s="686"/>
      <c r="H26" s="687"/>
      <c r="I26" s="687"/>
      <c r="J26" s="687"/>
      <c r="K26" s="687"/>
      <c r="L26" s="687"/>
      <c r="M26" s="687">
        <v>0</v>
      </c>
      <c r="N26" s="687"/>
      <c r="O26" s="687"/>
      <c r="P26" s="687"/>
      <c r="Q26" s="687"/>
      <c r="R26" s="687"/>
      <c r="S26" s="687"/>
      <c r="T26" s="687"/>
      <c r="U26" s="687"/>
      <c r="V26" s="687"/>
      <c r="W26" s="687"/>
      <c r="X26" s="687"/>
      <c r="Y26" s="687"/>
      <c r="Z26" s="687"/>
      <c r="AA26" s="687"/>
      <c r="AB26" s="687"/>
      <c r="AC26" s="709"/>
      <c r="AD26" s="598">
        <f t="shared" si="6"/>
        <v>0</v>
      </c>
      <c r="AE26" s="492">
        <f t="shared" si="7"/>
        <v>0</v>
      </c>
      <c r="AF26" s="467" t="str">
        <f t="shared" si="8"/>
        <v>sell</v>
      </c>
    </row>
    <row r="27" spans="1:32" s="360" customFormat="1" hidden="1" x14ac:dyDescent="0.2">
      <c r="A27" s="644" t="s">
        <v>278</v>
      </c>
      <c r="B27" s="488" t="s">
        <v>241</v>
      </c>
      <c r="C27" s="488" t="s">
        <v>152</v>
      </c>
      <c r="D27" s="489">
        <f t="shared" si="5"/>
        <v>-0.25</v>
      </c>
      <c r="E27" s="489"/>
      <c r="F27" s="687"/>
      <c r="G27" s="686"/>
      <c r="H27" s="687"/>
      <c r="I27" s="687"/>
      <c r="J27" s="687"/>
      <c r="K27" s="687"/>
      <c r="L27" s="687"/>
      <c r="M27" s="687"/>
      <c r="N27" s="687">
        <v>0</v>
      </c>
      <c r="O27" s="687"/>
      <c r="P27" s="687"/>
      <c r="Q27" s="687"/>
      <c r="R27" s="687"/>
      <c r="S27" s="687"/>
      <c r="T27" s="687"/>
      <c r="U27" s="687"/>
      <c r="V27" s="687"/>
      <c r="W27" s="687"/>
      <c r="X27" s="687"/>
      <c r="Y27" s="687"/>
      <c r="Z27" s="687"/>
      <c r="AA27" s="687"/>
      <c r="AB27" s="687"/>
      <c r="AC27" s="709"/>
      <c r="AD27" s="598">
        <f t="shared" si="6"/>
        <v>0</v>
      </c>
      <c r="AE27" s="492">
        <f t="shared" si="7"/>
        <v>0</v>
      </c>
      <c r="AF27" s="467" t="str">
        <f t="shared" si="8"/>
        <v>sell</v>
      </c>
    </row>
    <row r="28" spans="1:32" s="360" customFormat="1" hidden="1" x14ac:dyDescent="0.2">
      <c r="A28" s="644" t="s">
        <v>278</v>
      </c>
      <c r="B28" s="488" t="s">
        <v>241</v>
      </c>
      <c r="C28" s="488" t="s">
        <v>152</v>
      </c>
      <c r="D28" s="489">
        <f t="shared" si="5"/>
        <v>-0.25</v>
      </c>
      <c r="E28" s="489"/>
      <c r="F28" s="687"/>
      <c r="G28" s="686"/>
      <c r="H28" s="687"/>
      <c r="I28" s="687"/>
      <c r="J28" s="687"/>
      <c r="K28" s="687"/>
      <c r="L28" s="687"/>
      <c r="M28" s="687"/>
      <c r="N28" s="687"/>
      <c r="O28" s="687">
        <v>0</v>
      </c>
      <c r="P28" s="687"/>
      <c r="Q28" s="687"/>
      <c r="R28" s="687"/>
      <c r="S28" s="687"/>
      <c r="T28" s="687"/>
      <c r="U28" s="687"/>
      <c r="V28" s="687"/>
      <c r="W28" s="687"/>
      <c r="X28" s="687"/>
      <c r="Y28" s="687"/>
      <c r="Z28" s="687"/>
      <c r="AA28" s="687"/>
      <c r="AB28" s="687"/>
      <c r="AC28" s="709"/>
      <c r="AD28" s="598">
        <f t="shared" si="6"/>
        <v>0</v>
      </c>
      <c r="AE28" s="492">
        <f t="shared" si="7"/>
        <v>0</v>
      </c>
      <c r="AF28" s="467" t="str">
        <f t="shared" si="8"/>
        <v>sell</v>
      </c>
    </row>
    <row r="29" spans="1:32" s="360" customFormat="1" hidden="1" x14ac:dyDescent="0.2">
      <c r="A29" s="644" t="s">
        <v>278</v>
      </c>
      <c r="B29" s="488" t="s">
        <v>241</v>
      </c>
      <c r="C29" s="488" t="s">
        <v>152</v>
      </c>
      <c r="D29" s="489">
        <f t="shared" si="5"/>
        <v>-0.25</v>
      </c>
      <c r="E29" s="489"/>
      <c r="F29" s="687"/>
      <c r="G29" s="686"/>
      <c r="H29" s="687"/>
      <c r="I29" s="687"/>
      <c r="J29" s="687"/>
      <c r="K29" s="687"/>
      <c r="L29" s="687"/>
      <c r="M29" s="687"/>
      <c r="N29" s="687"/>
      <c r="O29" s="687"/>
      <c r="P29" s="687">
        <v>0</v>
      </c>
      <c r="Q29" s="687"/>
      <c r="R29" s="687"/>
      <c r="S29" s="687"/>
      <c r="T29" s="687"/>
      <c r="U29" s="687"/>
      <c r="V29" s="687"/>
      <c r="W29" s="687"/>
      <c r="X29" s="687"/>
      <c r="Y29" s="687"/>
      <c r="Z29" s="687"/>
      <c r="AA29" s="687"/>
      <c r="AB29" s="687"/>
      <c r="AC29" s="709"/>
      <c r="AD29" s="598">
        <f t="shared" si="6"/>
        <v>0</v>
      </c>
      <c r="AE29" s="492">
        <f t="shared" si="7"/>
        <v>0</v>
      </c>
      <c r="AF29" s="467" t="str">
        <f t="shared" si="8"/>
        <v>sell</v>
      </c>
    </row>
    <row r="30" spans="1:32" s="360" customFormat="1" hidden="1" x14ac:dyDescent="0.2">
      <c r="A30" s="644" t="s">
        <v>278</v>
      </c>
      <c r="B30" s="488" t="s">
        <v>241</v>
      </c>
      <c r="C30" s="488" t="s">
        <v>152</v>
      </c>
      <c r="D30" s="489">
        <f t="shared" si="5"/>
        <v>-0.25</v>
      </c>
      <c r="E30" s="489"/>
      <c r="F30" s="687"/>
      <c r="G30" s="686"/>
      <c r="H30" s="687"/>
      <c r="I30" s="687"/>
      <c r="J30" s="687"/>
      <c r="K30" s="687"/>
      <c r="L30" s="687"/>
      <c r="M30" s="687"/>
      <c r="N30" s="687"/>
      <c r="O30" s="687"/>
      <c r="P30" s="687"/>
      <c r="Q30" s="687">
        <v>0</v>
      </c>
      <c r="R30" s="687"/>
      <c r="S30" s="687"/>
      <c r="T30" s="687"/>
      <c r="U30" s="687"/>
      <c r="V30" s="687"/>
      <c r="W30" s="687"/>
      <c r="X30" s="687"/>
      <c r="Y30" s="687"/>
      <c r="Z30" s="687"/>
      <c r="AA30" s="687"/>
      <c r="AB30" s="687"/>
      <c r="AC30" s="709"/>
      <c r="AD30" s="598">
        <f t="shared" si="6"/>
        <v>0</v>
      </c>
      <c r="AE30" s="492">
        <f t="shared" si="7"/>
        <v>0</v>
      </c>
      <c r="AF30" s="467" t="str">
        <f t="shared" si="8"/>
        <v>sell</v>
      </c>
    </row>
    <row r="31" spans="1:32" s="360" customFormat="1" hidden="1" x14ac:dyDescent="0.2">
      <c r="A31" s="644" t="s">
        <v>278</v>
      </c>
      <c r="B31" s="488" t="s">
        <v>241</v>
      </c>
      <c r="C31" s="488" t="s">
        <v>152</v>
      </c>
      <c r="D31" s="489">
        <f t="shared" si="5"/>
        <v>-0.25</v>
      </c>
      <c r="E31" s="489"/>
      <c r="F31" s="687"/>
      <c r="G31" s="686"/>
      <c r="H31" s="687"/>
      <c r="I31" s="687"/>
      <c r="J31" s="687"/>
      <c r="K31" s="687"/>
      <c r="L31" s="687"/>
      <c r="M31" s="687"/>
      <c r="N31" s="687"/>
      <c r="O31" s="687"/>
      <c r="P31" s="687"/>
      <c r="Q31" s="687"/>
      <c r="R31" s="687">
        <v>0</v>
      </c>
      <c r="S31" s="687"/>
      <c r="T31" s="687"/>
      <c r="U31" s="687"/>
      <c r="V31" s="687"/>
      <c r="W31" s="687"/>
      <c r="X31" s="687"/>
      <c r="Y31" s="687"/>
      <c r="Z31" s="687"/>
      <c r="AA31" s="687"/>
      <c r="AB31" s="687"/>
      <c r="AC31" s="709"/>
      <c r="AD31" s="598">
        <f t="shared" si="6"/>
        <v>0</v>
      </c>
      <c r="AE31" s="492">
        <f t="shared" si="7"/>
        <v>0</v>
      </c>
      <c r="AF31" s="467" t="str">
        <f t="shared" si="8"/>
        <v>sell</v>
      </c>
    </row>
    <row r="32" spans="1:32" s="360" customFormat="1" hidden="1" x14ac:dyDescent="0.2">
      <c r="A32" s="644" t="s">
        <v>278</v>
      </c>
      <c r="B32" s="488" t="s">
        <v>241</v>
      </c>
      <c r="C32" s="488" t="s">
        <v>152</v>
      </c>
      <c r="D32" s="489">
        <f t="shared" si="5"/>
        <v>-0.25</v>
      </c>
      <c r="E32" s="489"/>
      <c r="F32" s="687"/>
      <c r="G32" s="686"/>
      <c r="H32" s="687"/>
      <c r="I32" s="687"/>
      <c r="J32" s="687"/>
      <c r="K32" s="687"/>
      <c r="L32" s="687"/>
      <c r="M32" s="687"/>
      <c r="N32" s="687"/>
      <c r="O32" s="687"/>
      <c r="P32" s="687"/>
      <c r="Q32" s="687"/>
      <c r="R32" s="687"/>
      <c r="S32" s="687">
        <v>0</v>
      </c>
      <c r="T32" s="687"/>
      <c r="U32" s="687"/>
      <c r="V32" s="687"/>
      <c r="W32" s="687"/>
      <c r="X32" s="687"/>
      <c r="Y32" s="687"/>
      <c r="Z32" s="687"/>
      <c r="AA32" s="687"/>
      <c r="AB32" s="687"/>
      <c r="AC32" s="709"/>
      <c r="AD32" s="598">
        <f t="shared" si="6"/>
        <v>0</v>
      </c>
      <c r="AE32" s="492">
        <f t="shared" si="7"/>
        <v>0</v>
      </c>
      <c r="AF32" s="467" t="str">
        <f t="shared" si="8"/>
        <v>sell</v>
      </c>
    </row>
    <row r="33" spans="1:32" s="360" customFormat="1" hidden="1" x14ac:dyDescent="0.2">
      <c r="A33" s="644" t="s">
        <v>278</v>
      </c>
      <c r="B33" s="488" t="s">
        <v>241</v>
      </c>
      <c r="C33" s="488" t="s">
        <v>152</v>
      </c>
      <c r="D33" s="489">
        <f t="shared" si="5"/>
        <v>-0.25</v>
      </c>
      <c r="E33" s="489"/>
      <c r="F33" s="687"/>
      <c r="G33" s="686"/>
      <c r="H33" s="687"/>
      <c r="I33" s="687"/>
      <c r="J33" s="687"/>
      <c r="K33" s="687"/>
      <c r="L33" s="687"/>
      <c r="M33" s="687"/>
      <c r="N33" s="687"/>
      <c r="O33" s="687"/>
      <c r="P33" s="687"/>
      <c r="Q33" s="687"/>
      <c r="R33" s="687"/>
      <c r="S33" s="687"/>
      <c r="T33" s="687">
        <v>0</v>
      </c>
      <c r="U33" s="687"/>
      <c r="V33" s="687"/>
      <c r="W33" s="687"/>
      <c r="X33" s="687"/>
      <c r="Y33" s="687"/>
      <c r="Z33" s="687"/>
      <c r="AA33" s="687"/>
      <c r="AB33" s="687"/>
      <c r="AC33" s="709"/>
      <c r="AD33" s="598">
        <f t="shared" si="6"/>
        <v>0</v>
      </c>
      <c r="AE33" s="492">
        <f t="shared" si="7"/>
        <v>0</v>
      </c>
      <c r="AF33" s="467" t="str">
        <f t="shared" si="8"/>
        <v>sell</v>
      </c>
    </row>
    <row r="34" spans="1:32" s="360" customFormat="1" hidden="1" x14ac:dyDescent="0.2">
      <c r="A34" s="644" t="s">
        <v>278</v>
      </c>
      <c r="B34" s="488" t="s">
        <v>241</v>
      </c>
      <c r="C34" s="488" t="s">
        <v>152</v>
      </c>
      <c r="D34" s="489">
        <f t="shared" si="5"/>
        <v>-0.25</v>
      </c>
      <c r="E34" s="489"/>
      <c r="F34" s="687"/>
      <c r="G34" s="686"/>
      <c r="H34" s="687"/>
      <c r="I34" s="687"/>
      <c r="J34" s="687"/>
      <c r="K34" s="687"/>
      <c r="L34" s="687"/>
      <c r="M34" s="687"/>
      <c r="N34" s="687"/>
      <c r="O34" s="687"/>
      <c r="P34" s="687"/>
      <c r="Q34" s="687"/>
      <c r="R34" s="687"/>
      <c r="S34" s="687"/>
      <c r="T34" s="687"/>
      <c r="U34" s="687">
        <v>0</v>
      </c>
      <c r="V34" s="687"/>
      <c r="W34" s="687"/>
      <c r="X34" s="687"/>
      <c r="Y34" s="687"/>
      <c r="Z34" s="687"/>
      <c r="AA34" s="687"/>
      <c r="AB34" s="687"/>
      <c r="AC34" s="709"/>
      <c r="AD34" s="598">
        <f t="shared" si="6"/>
        <v>0</v>
      </c>
      <c r="AE34" s="492">
        <f t="shared" si="7"/>
        <v>0</v>
      </c>
      <c r="AF34" s="467" t="str">
        <f t="shared" si="8"/>
        <v>sell</v>
      </c>
    </row>
    <row r="35" spans="1:32" s="360" customFormat="1" hidden="1" x14ac:dyDescent="0.2">
      <c r="A35" s="644" t="s">
        <v>278</v>
      </c>
      <c r="B35" s="488" t="s">
        <v>241</v>
      </c>
      <c r="C35" s="488" t="s">
        <v>152</v>
      </c>
      <c r="D35" s="489">
        <f t="shared" si="5"/>
        <v>-0.25</v>
      </c>
      <c r="E35" s="489"/>
      <c r="F35" s="687"/>
      <c r="G35" s="686"/>
      <c r="H35" s="687"/>
      <c r="I35" s="687"/>
      <c r="J35" s="687"/>
      <c r="K35" s="687"/>
      <c r="L35" s="687"/>
      <c r="M35" s="687"/>
      <c r="N35" s="687"/>
      <c r="O35" s="687"/>
      <c r="P35" s="687"/>
      <c r="Q35" s="687"/>
      <c r="R35" s="687"/>
      <c r="S35" s="687"/>
      <c r="T35" s="687"/>
      <c r="U35" s="687"/>
      <c r="V35" s="687">
        <v>0</v>
      </c>
      <c r="W35" s="687"/>
      <c r="X35" s="687"/>
      <c r="Y35" s="687"/>
      <c r="Z35" s="687"/>
      <c r="AA35" s="700"/>
      <c r="AB35" s="687"/>
      <c r="AC35" s="709"/>
      <c r="AD35" s="598">
        <f t="shared" si="6"/>
        <v>0</v>
      </c>
      <c r="AE35" s="492">
        <f t="shared" si="7"/>
        <v>0</v>
      </c>
      <c r="AF35" s="467" t="str">
        <f t="shared" si="8"/>
        <v>sell</v>
      </c>
    </row>
    <row r="36" spans="1:32" s="360" customFormat="1" hidden="1" x14ac:dyDescent="0.2">
      <c r="A36" s="644" t="s">
        <v>278</v>
      </c>
      <c r="B36" s="488" t="s">
        <v>241</v>
      </c>
      <c r="C36" s="488" t="s">
        <v>152</v>
      </c>
      <c r="D36" s="489">
        <f t="shared" si="5"/>
        <v>-0.25</v>
      </c>
      <c r="E36" s="489"/>
      <c r="F36" s="687"/>
      <c r="G36" s="686"/>
      <c r="H36" s="687"/>
      <c r="I36" s="687"/>
      <c r="J36" s="687"/>
      <c r="K36" s="687"/>
      <c r="L36" s="687"/>
      <c r="M36" s="687"/>
      <c r="N36" s="687"/>
      <c r="O36" s="687"/>
      <c r="P36" s="687"/>
      <c r="Q36" s="687"/>
      <c r="R36" s="687"/>
      <c r="S36" s="687"/>
      <c r="T36" s="687"/>
      <c r="U36" s="687"/>
      <c r="V36" s="687"/>
      <c r="W36" s="687">
        <v>0</v>
      </c>
      <c r="X36" s="687"/>
      <c r="Y36" s="687"/>
      <c r="Z36" s="687"/>
      <c r="AA36" s="687"/>
      <c r="AB36" s="687"/>
      <c r="AC36" s="709"/>
      <c r="AD36" s="598">
        <f t="shared" si="6"/>
        <v>0</v>
      </c>
      <c r="AE36" s="492">
        <f t="shared" si="7"/>
        <v>0</v>
      </c>
      <c r="AF36" s="467" t="str">
        <f t="shared" si="8"/>
        <v>sell</v>
      </c>
    </row>
    <row r="37" spans="1:32" s="360" customFormat="1" hidden="1" x14ac:dyDescent="0.2">
      <c r="A37" s="644" t="s">
        <v>278</v>
      </c>
      <c r="B37" s="488" t="s">
        <v>241</v>
      </c>
      <c r="C37" s="488" t="s">
        <v>152</v>
      </c>
      <c r="D37" s="489">
        <f t="shared" si="5"/>
        <v>-0.25</v>
      </c>
      <c r="E37" s="489"/>
      <c r="F37" s="687"/>
      <c r="G37" s="686"/>
      <c r="H37" s="687"/>
      <c r="I37" s="687"/>
      <c r="J37" s="687"/>
      <c r="K37" s="687"/>
      <c r="L37" s="687"/>
      <c r="M37" s="687"/>
      <c r="N37" s="687"/>
      <c r="O37" s="687"/>
      <c r="P37" s="687"/>
      <c r="Q37" s="687"/>
      <c r="R37" s="687"/>
      <c r="S37" s="687"/>
      <c r="T37" s="687"/>
      <c r="U37" s="687"/>
      <c r="V37" s="687"/>
      <c r="W37" s="687"/>
      <c r="X37" s="687">
        <v>0</v>
      </c>
      <c r="Y37" s="687"/>
      <c r="Z37" s="687"/>
      <c r="AA37" s="687"/>
      <c r="AB37" s="687"/>
      <c r="AC37" s="709"/>
      <c r="AD37" s="598">
        <f t="shared" si="6"/>
        <v>0</v>
      </c>
      <c r="AE37" s="492">
        <f t="shared" si="7"/>
        <v>0</v>
      </c>
      <c r="AF37" s="467" t="str">
        <f t="shared" si="8"/>
        <v>sell</v>
      </c>
    </row>
    <row r="38" spans="1:32" s="360" customFormat="1" hidden="1" x14ac:dyDescent="0.2">
      <c r="A38" s="644" t="s">
        <v>278</v>
      </c>
      <c r="B38" s="488" t="s">
        <v>241</v>
      </c>
      <c r="C38" s="488" t="s">
        <v>152</v>
      </c>
      <c r="D38" s="489">
        <f t="shared" si="5"/>
        <v>-0.25</v>
      </c>
      <c r="E38" s="489"/>
      <c r="F38" s="687"/>
      <c r="G38" s="686"/>
      <c r="H38" s="687"/>
      <c r="I38" s="687"/>
      <c r="J38" s="687"/>
      <c r="K38" s="687"/>
      <c r="L38" s="687"/>
      <c r="M38" s="687"/>
      <c r="N38" s="687"/>
      <c r="O38" s="687"/>
      <c r="P38" s="687"/>
      <c r="Q38" s="687"/>
      <c r="R38" s="687"/>
      <c r="S38" s="687"/>
      <c r="T38" s="687"/>
      <c r="U38" s="687"/>
      <c r="V38" s="687"/>
      <c r="W38" s="687"/>
      <c r="X38" s="687"/>
      <c r="Y38" s="687">
        <v>0</v>
      </c>
      <c r="Z38" s="687"/>
      <c r="AA38" s="687"/>
      <c r="AB38" s="687"/>
      <c r="AC38" s="709"/>
      <c r="AD38" s="598">
        <f t="shared" si="6"/>
        <v>0</v>
      </c>
      <c r="AE38" s="492">
        <f t="shared" si="7"/>
        <v>0</v>
      </c>
      <c r="AF38" s="467" t="str">
        <f t="shared" si="8"/>
        <v>sell</v>
      </c>
    </row>
    <row r="39" spans="1:32" s="360" customFormat="1" hidden="1" x14ac:dyDescent="0.2">
      <c r="A39" s="644" t="s">
        <v>278</v>
      </c>
      <c r="B39" s="488" t="s">
        <v>241</v>
      </c>
      <c r="C39" s="488" t="s">
        <v>152</v>
      </c>
      <c r="D39" s="489">
        <f t="shared" si="5"/>
        <v>-0.25</v>
      </c>
      <c r="E39" s="489"/>
      <c r="F39" s="687"/>
      <c r="G39" s="686"/>
      <c r="H39" s="687"/>
      <c r="I39" s="687"/>
      <c r="J39" s="687"/>
      <c r="K39" s="687"/>
      <c r="L39" s="687"/>
      <c r="M39" s="687"/>
      <c r="N39" s="687"/>
      <c r="O39" s="687"/>
      <c r="P39" s="687"/>
      <c r="Q39" s="687"/>
      <c r="R39" s="687"/>
      <c r="S39" s="687"/>
      <c r="T39" s="687"/>
      <c r="U39" s="687"/>
      <c r="V39" s="687"/>
      <c r="W39" s="687"/>
      <c r="X39" s="687"/>
      <c r="Y39" s="687"/>
      <c r="Z39" s="687">
        <v>0</v>
      </c>
      <c r="AA39" s="687"/>
      <c r="AB39" s="687"/>
      <c r="AC39" s="709"/>
      <c r="AD39" s="598">
        <f t="shared" si="6"/>
        <v>0</v>
      </c>
      <c r="AE39" s="492">
        <f t="shared" si="7"/>
        <v>0</v>
      </c>
      <c r="AF39" s="467" t="str">
        <f t="shared" si="8"/>
        <v>sell</v>
      </c>
    </row>
    <row r="40" spans="1:32" s="360" customFormat="1" hidden="1" x14ac:dyDescent="0.2">
      <c r="A40" s="644" t="s">
        <v>278</v>
      </c>
      <c r="B40" s="488" t="s">
        <v>241</v>
      </c>
      <c r="C40" s="488" t="s">
        <v>152</v>
      </c>
      <c r="D40" s="489">
        <f t="shared" si="5"/>
        <v>-0.25</v>
      </c>
      <c r="E40" s="489"/>
      <c r="F40" s="687"/>
      <c r="G40" s="686"/>
      <c r="H40" s="687"/>
      <c r="I40" s="687"/>
      <c r="J40" s="687"/>
      <c r="K40" s="687"/>
      <c r="L40" s="687"/>
      <c r="M40" s="687"/>
      <c r="N40" s="687"/>
      <c r="O40" s="687"/>
      <c r="P40" s="687"/>
      <c r="Q40" s="687"/>
      <c r="R40" s="687"/>
      <c r="S40" s="687"/>
      <c r="T40" s="687"/>
      <c r="U40" s="687"/>
      <c r="V40" s="687"/>
      <c r="W40" s="687"/>
      <c r="X40" s="687"/>
      <c r="Y40" s="687"/>
      <c r="Z40" s="687"/>
      <c r="AA40" s="687">
        <v>0</v>
      </c>
      <c r="AB40" s="687"/>
      <c r="AC40" s="709"/>
      <c r="AD40" s="598">
        <f t="shared" si="6"/>
        <v>0</v>
      </c>
      <c r="AE40" s="492">
        <f t="shared" si="7"/>
        <v>0</v>
      </c>
      <c r="AF40" s="467" t="str">
        <f t="shared" si="8"/>
        <v>sell</v>
      </c>
    </row>
    <row r="41" spans="1:32" s="360" customFormat="1" hidden="1" x14ac:dyDescent="0.2">
      <c r="A41" s="644" t="s">
        <v>278</v>
      </c>
      <c r="B41" s="488" t="s">
        <v>241</v>
      </c>
      <c r="C41" s="488" t="s">
        <v>152</v>
      </c>
      <c r="D41" s="489">
        <f t="shared" si="5"/>
        <v>-0.25</v>
      </c>
      <c r="E41" s="489"/>
      <c r="F41" s="687"/>
      <c r="G41" s="686"/>
      <c r="H41" s="687"/>
      <c r="I41" s="687"/>
      <c r="J41" s="687"/>
      <c r="K41" s="687"/>
      <c r="L41" s="687"/>
      <c r="M41" s="687"/>
      <c r="N41" s="687"/>
      <c r="O41" s="687"/>
      <c r="P41" s="687"/>
      <c r="Q41" s="687"/>
      <c r="R41" s="687"/>
      <c r="S41" s="687"/>
      <c r="T41" s="687"/>
      <c r="U41" s="687"/>
      <c r="V41" s="687"/>
      <c r="W41" s="687"/>
      <c r="X41" s="687"/>
      <c r="Y41" s="687"/>
      <c r="Z41" s="687"/>
      <c r="AA41" s="687"/>
      <c r="AB41" s="687">
        <v>0</v>
      </c>
      <c r="AC41" s="709"/>
      <c r="AD41" s="598">
        <f t="shared" si="6"/>
        <v>0</v>
      </c>
      <c r="AE41" s="492">
        <f t="shared" si="7"/>
        <v>0</v>
      </c>
      <c r="AF41" s="467" t="str">
        <f t="shared" si="8"/>
        <v>sell</v>
      </c>
    </row>
    <row r="42" spans="1:32" s="360" customFormat="1" hidden="1" x14ac:dyDescent="0.2">
      <c r="A42" s="644" t="s">
        <v>278</v>
      </c>
      <c r="B42" s="488" t="s">
        <v>241</v>
      </c>
      <c r="C42" s="488" t="s">
        <v>152</v>
      </c>
      <c r="D42" s="489">
        <f t="shared" si="5"/>
        <v>-0.25</v>
      </c>
      <c r="E42" s="489"/>
      <c r="F42" s="687">
        <v>0</v>
      </c>
      <c r="G42" s="686"/>
      <c r="H42" s="687"/>
      <c r="I42" s="687"/>
      <c r="J42" s="687"/>
      <c r="K42" s="687"/>
      <c r="L42" s="687"/>
      <c r="M42" s="687"/>
      <c r="N42" s="687"/>
      <c r="O42" s="687"/>
      <c r="P42" s="687"/>
      <c r="Q42" s="687"/>
      <c r="R42" s="687"/>
      <c r="S42" s="687"/>
      <c r="T42" s="687"/>
      <c r="U42" s="687"/>
      <c r="V42" s="687"/>
      <c r="W42" s="687"/>
      <c r="X42" s="687"/>
      <c r="Y42" s="687"/>
      <c r="Z42" s="687"/>
      <c r="AA42" s="687"/>
      <c r="AB42" s="687"/>
      <c r="AC42" s="709">
        <v>0</v>
      </c>
      <c r="AD42" s="598">
        <f t="shared" si="6"/>
        <v>0</v>
      </c>
      <c r="AE42" s="492">
        <f t="shared" si="7"/>
        <v>0</v>
      </c>
      <c r="AF42" s="467" t="str">
        <f t="shared" si="8"/>
        <v>sell</v>
      </c>
    </row>
    <row r="43" spans="1:32" s="360" customFormat="1" hidden="1" x14ac:dyDescent="0.2">
      <c r="A43" s="644"/>
      <c r="B43" s="488"/>
      <c r="C43" s="488"/>
      <c r="D43" s="489"/>
      <c r="E43" s="489"/>
      <c r="F43" s="687"/>
      <c r="G43" s="686"/>
      <c r="H43" s="687"/>
      <c r="I43" s="687"/>
      <c r="J43" s="687"/>
      <c r="K43" s="687"/>
      <c r="L43" s="687"/>
      <c r="M43" s="687"/>
      <c r="N43" s="687"/>
      <c r="O43" s="687"/>
      <c r="P43" s="687"/>
      <c r="Q43" s="687"/>
      <c r="R43" s="687"/>
      <c r="S43" s="687"/>
      <c r="T43" s="687"/>
      <c r="U43" s="687"/>
      <c r="V43" s="687"/>
      <c r="W43" s="687"/>
      <c r="X43" s="687"/>
      <c r="Y43" s="687"/>
      <c r="Z43" s="687"/>
      <c r="AA43" s="687"/>
      <c r="AB43" s="687"/>
      <c r="AC43" s="709"/>
      <c r="AD43" s="598">
        <f t="shared" si="6"/>
        <v>0</v>
      </c>
      <c r="AE43" s="492">
        <f t="shared" si="7"/>
        <v>0</v>
      </c>
      <c r="AF43" s="467"/>
    </row>
    <row r="44" spans="1:32" s="360" customFormat="1" hidden="1" x14ac:dyDescent="0.2">
      <c r="A44" s="644" t="s">
        <v>278</v>
      </c>
      <c r="B44" s="488" t="s">
        <v>241</v>
      </c>
      <c r="C44" s="488" t="s">
        <v>280</v>
      </c>
      <c r="D44" s="489">
        <f t="shared" ref="D44:D66" si="9">F132</f>
        <v>-0.25</v>
      </c>
      <c r="E44" s="489"/>
      <c r="F44" s="687"/>
      <c r="G44" s="687"/>
      <c r="H44" s="687"/>
      <c r="I44" s="687"/>
      <c r="J44" s="687"/>
      <c r="K44" s="687"/>
      <c r="L44" s="687"/>
      <c r="M44" s="687"/>
      <c r="N44" s="687"/>
      <c r="O44" s="687"/>
      <c r="P44" s="687"/>
      <c r="Q44" s="687"/>
      <c r="R44" s="687"/>
      <c r="S44" s="687"/>
      <c r="T44" s="687"/>
      <c r="U44" s="687"/>
      <c r="V44" s="687"/>
      <c r="W44" s="687"/>
      <c r="X44" s="687"/>
      <c r="Y44" s="687"/>
      <c r="Z44" s="687"/>
      <c r="AA44" s="687"/>
      <c r="AB44" s="687"/>
      <c r="AC44" s="709"/>
      <c r="AD44" s="598">
        <f t="shared" si="6"/>
        <v>0</v>
      </c>
      <c r="AE44" s="492">
        <f t="shared" si="7"/>
        <v>0</v>
      </c>
      <c r="AF44" s="467" t="str">
        <f>IF(AD44&lt;0,"buy","sell")</f>
        <v>sell</v>
      </c>
    </row>
    <row r="45" spans="1:32" s="360" customFormat="1" hidden="1" x14ac:dyDescent="0.2">
      <c r="A45" s="644" t="s">
        <v>278</v>
      </c>
      <c r="B45" s="488" t="s">
        <v>241</v>
      </c>
      <c r="C45" s="488" t="s">
        <v>280</v>
      </c>
      <c r="D45" s="489">
        <f t="shared" si="9"/>
        <v>-0.25</v>
      </c>
      <c r="E45" s="489"/>
      <c r="F45" s="687"/>
      <c r="G45" s="687"/>
      <c r="H45" s="687"/>
      <c r="I45" s="687"/>
      <c r="J45" s="687"/>
      <c r="K45" s="687"/>
      <c r="L45" s="687"/>
      <c r="M45" s="687"/>
      <c r="N45" s="687"/>
      <c r="O45" s="687"/>
      <c r="P45" s="687"/>
      <c r="Q45" s="687"/>
      <c r="R45" s="687"/>
      <c r="S45" s="687"/>
      <c r="T45" s="687"/>
      <c r="U45" s="687"/>
      <c r="V45" s="687"/>
      <c r="W45" s="687"/>
      <c r="X45" s="687"/>
      <c r="Y45" s="687"/>
      <c r="Z45" s="687"/>
      <c r="AA45" s="687"/>
      <c r="AB45" s="687"/>
      <c r="AC45" s="709"/>
      <c r="AD45" s="598">
        <f t="shared" si="6"/>
        <v>0</v>
      </c>
      <c r="AE45" s="492">
        <f t="shared" si="7"/>
        <v>0</v>
      </c>
      <c r="AF45" s="467" t="str">
        <f t="shared" ref="AF45:AF68" si="10">IF(AD45&lt;0,"buy","sell")</f>
        <v>sell</v>
      </c>
    </row>
    <row r="46" spans="1:32" s="360" customFormat="1" hidden="1" x14ac:dyDescent="0.2">
      <c r="A46" s="644" t="s">
        <v>278</v>
      </c>
      <c r="B46" s="488" t="s">
        <v>241</v>
      </c>
      <c r="C46" s="488" t="s">
        <v>280</v>
      </c>
      <c r="D46" s="489">
        <f t="shared" si="9"/>
        <v>-0.25</v>
      </c>
      <c r="E46" s="489"/>
      <c r="F46" s="687"/>
      <c r="G46" s="687"/>
      <c r="H46" s="687">
        <v>0</v>
      </c>
      <c r="I46" s="687"/>
      <c r="J46" s="687"/>
      <c r="K46" s="687"/>
      <c r="L46" s="687"/>
      <c r="M46" s="687"/>
      <c r="N46" s="687"/>
      <c r="O46" s="687"/>
      <c r="P46" s="687"/>
      <c r="Q46" s="687"/>
      <c r="R46" s="687"/>
      <c r="S46" s="687"/>
      <c r="T46" s="687"/>
      <c r="U46" s="687"/>
      <c r="V46" s="687"/>
      <c r="W46" s="687"/>
      <c r="X46" s="687"/>
      <c r="Y46" s="687"/>
      <c r="Z46" s="687"/>
      <c r="AA46" s="687"/>
      <c r="AB46" s="687"/>
      <c r="AC46" s="709"/>
      <c r="AD46" s="598">
        <f t="shared" si="6"/>
        <v>0</v>
      </c>
      <c r="AE46" s="492">
        <f t="shared" si="7"/>
        <v>0</v>
      </c>
      <c r="AF46" s="467" t="str">
        <f t="shared" si="10"/>
        <v>sell</v>
      </c>
    </row>
    <row r="47" spans="1:32" s="360" customFormat="1" hidden="1" x14ac:dyDescent="0.2">
      <c r="A47" s="644" t="s">
        <v>278</v>
      </c>
      <c r="B47" s="488" t="s">
        <v>241</v>
      </c>
      <c r="C47" s="488" t="s">
        <v>280</v>
      </c>
      <c r="D47" s="489">
        <f t="shared" si="9"/>
        <v>-0.25</v>
      </c>
      <c r="E47" s="489"/>
      <c r="F47" s="687"/>
      <c r="G47" s="687"/>
      <c r="H47" s="687"/>
      <c r="I47" s="687">
        <v>0</v>
      </c>
      <c r="J47" s="687"/>
      <c r="K47" s="687"/>
      <c r="L47" s="687"/>
      <c r="M47" s="687"/>
      <c r="N47" s="687"/>
      <c r="O47" s="687"/>
      <c r="P47" s="687"/>
      <c r="Q47" s="687"/>
      <c r="R47" s="687"/>
      <c r="S47" s="687"/>
      <c r="T47" s="687"/>
      <c r="U47" s="687"/>
      <c r="V47" s="687"/>
      <c r="W47" s="687"/>
      <c r="X47" s="687"/>
      <c r="Y47" s="687"/>
      <c r="Z47" s="687"/>
      <c r="AA47" s="687"/>
      <c r="AB47" s="687"/>
      <c r="AC47" s="709"/>
      <c r="AD47" s="598">
        <f t="shared" si="6"/>
        <v>0</v>
      </c>
      <c r="AE47" s="492">
        <f t="shared" si="7"/>
        <v>0</v>
      </c>
      <c r="AF47" s="467" t="str">
        <f t="shared" si="10"/>
        <v>sell</v>
      </c>
    </row>
    <row r="48" spans="1:32" s="360" customFormat="1" hidden="1" x14ac:dyDescent="0.2">
      <c r="A48" s="644" t="s">
        <v>278</v>
      </c>
      <c r="B48" s="488" t="s">
        <v>241</v>
      </c>
      <c r="C48" s="488" t="s">
        <v>280</v>
      </c>
      <c r="D48" s="489">
        <f t="shared" si="9"/>
        <v>-0.25</v>
      </c>
      <c r="E48" s="489"/>
      <c r="F48" s="687"/>
      <c r="G48" s="687"/>
      <c r="H48" s="687"/>
      <c r="I48" s="687"/>
      <c r="J48" s="687">
        <v>0</v>
      </c>
      <c r="K48" s="687"/>
      <c r="L48" s="687"/>
      <c r="M48" s="687"/>
      <c r="N48" s="687"/>
      <c r="O48" s="687"/>
      <c r="P48" s="687"/>
      <c r="Q48" s="687"/>
      <c r="R48" s="687"/>
      <c r="S48" s="687"/>
      <c r="T48" s="687"/>
      <c r="U48" s="687"/>
      <c r="V48" s="687"/>
      <c r="W48" s="687"/>
      <c r="X48" s="687"/>
      <c r="Y48" s="687"/>
      <c r="Z48" s="687"/>
      <c r="AA48" s="687"/>
      <c r="AB48" s="687"/>
      <c r="AC48" s="709"/>
      <c r="AD48" s="598">
        <f t="shared" si="6"/>
        <v>0</v>
      </c>
      <c r="AE48" s="492">
        <f t="shared" si="7"/>
        <v>0</v>
      </c>
      <c r="AF48" s="467" t="str">
        <f t="shared" si="10"/>
        <v>sell</v>
      </c>
    </row>
    <row r="49" spans="1:32" s="360" customFormat="1" hidden="1" x14ac:dyDescent="0.2">
      <c r="A49" s="644" t="s">
        <v>278</v>
      </c>
      <c r="B49" s="488" t="s">
        <v>241</v>
      </c>
      <c r="C49" s="488" t="s">
        <v>280</v>
      </c>
      <c r="D49" s="489">
        <f t="shared" si="9"/>
        <v>-0.25</v>
      </c>
      <c r="E49" s="489"/>
      <c r="F49" s="687"/>
      <c r="G49" s="687"/>
      <c r="H49" s="687"/>
      <c r="I49" s="687"/>
      <c r="J49" s="687"/>
      <c r="K49" s="687">
        <v>0</v>
      </c>
      <c r="L49" s="687"/>
      <c r="M49" s="687"/>
      <c r="N49" s="687"/>
      <c r="O49" s="687"/>
      <c r="P49" s="687"/>
      <c r="Q49" s="687"/>
      <c r="R49" s="687"/>
      <c r="S49" s="687"/>
      <c r="T49" s="687"/>
      <c r="U49" s="687"/>
      <c r="V49" s="687"/>
      <c r="W49" s="687"/>
      <c r="X49" s="687"/>
      <c r="Y49" s="687"/>
      <c r="Z49" s="687"/>
      <c r="AA49" s="687"/>
      <c r="AB49" s="687"/>
      <c r="AC49" s="709"/>
      <c r="AD49" s="598">
        <f t="shared" si="6"/>
        <v>0</v>
      </c>
      <c r="AE49" s="492">
        <f t="shared" si="7"/>
        <v>0</v>
      </c>
      <c r="AF49" s="467" t="str">
        <f t="shared" si="10"/>
        <v>sell</v>
      </c>
    </row>
    <row r="50" spans="1:32" s="360" customFormat="1" hidden="1" x14ac:dyDescent="0.2">
      <c r="A50" s="644" t="s">
        <v>278</v>
      </c>
      <c r="B50" s="488" t="s">
        <v>241</v>
      </c>
      <c r="C50" s="488" t="s">
        <v>280</v>
      </c>
      <c r="D50" s="489">
        <f t="shared" si="9"/>
        <v>-0.25</v>
      </c>
      <c r="E50" s="489"/>
      <c r="F50" s="687"/>
      <c r="G50" s="687"/>
      <c r="H50" s="687"/>
      <c r="I50" s="687"/>
      <c r="J50" s="687"/>
      <c r="K50" s="687"/>
      <c r="L50" s="687">
        <v>0</v>
      </c>
      <c r="M50" s="687"/>
      <c r="N50" s="687"/>
      <c r="O50" s="687"/>
      <c r="P50" s="687"/>
      <c r="Q50" s="687"/>
      <c r="R50" s="687"/>
      <c r="S50" s="687"/>
      <c r="T50" s="687"/>
      <c r="U50" s="687"/>
      <c r="V50" s="687"/>
      <c r="W50" s="687"/>
      <c r="X50" s="687"/>
      <c r="Y50" s="687"/>
      <c r="Z50" s="687"/>
      <c r="AA50" s="687"/>
      <c r="AB50" s="687"/>
      <c r="AC50" s="709"/>
      <c r="AD50" s="598">
        <f t="shared" si="6"/>
        <v>0</v>
      </c>
      <c r="AE50" s="492">
        <f t="shared" si="7"/>
        <v>0</v>
      </c>
      <c r="AF50" s="467" t="str">
        <f t="shared" si="10"/>
        <v>sell</v>
      </c>
    </row>
    <row r="51" spans="1:32" s="360" customFormat="1" hidden="1" x14ac:dyDescent="0.2">
      <c r="A51" s="644" t="s">
        <v>278</v>
      </c>
      <c r="B51" s="488" t="s">
        <v>241</v>
      </c>
      <c r="C51" s="488" t="s">
        <v>280</v>
      </c>
      <c r="D51" s="489">
        <f t="shared" si="9"/>
        <v>-0.25</v>
      </c>
      <c r="E51" s="489"/>
      <c r="F51" s="687"/>
      <c r="G51" s="687"/>
      <c r="H51" s="687"/>
      <c r="I51" s="687"/>
      <c r="J51" s="687"/>
      <c r="K51" s="687"/>
      <c r="L51" s="687"/>
      <c r="M51" s="687">
        <v>0</v>
      </c>
      <c r="N51" s="687"/>
      <c r="O51" s="687"/>
      <c r="P51" s="687"/>
      <c r="Q51" s="687"/>
      <c r="R51" s="687"/>
      <c r="S51" s="687"/>
      <c r="T51" s="687"/>
      <c r="U51" s="687"/>
      <c r="V51" s="687"/>
      <c r="W51" s="687"/>
      <c r="X51" s="687"/>
      <c r="Y51" s="687"/>
      <c r="Z51" s="687"/>
      <c r="AA51" s="687"/>
      <c r="AB51" s="687"/>
      <c r="AC51" s="709"/>
      <c r="AD51" s="598">
        <f t="shared" si="6"/>
        <v>0</v>
      </c>
      <c r="AE51" s="492">
        <f t="shared" si="7"/>
        <v>0</v>
      </c>
      <c r="AF51" s="467" t="str">
        <f t="shared" si="10"/>
        <v>sell</v>
      </c>
    </row>
    <row r="52" spans="1:32" s="360" customFormat="1" hidden="1" x14ac:dyDescent="0.2">
      <c r="A52" s="644" t="s">
        <v>278</v>
      </c>
      <c r="B52" s="488" t="s">
        <v>241</v>
      </c>
      <c r="C52" s="488" t="s">
        <v>280</v>
      </c>
      <c r="D52" s="489">
        <f t="shared" si="9"/>
        <v>-0.25</v>
      </c>
      <c r="E52" s="489"/>
      <c r="F52" s="687"/>
      <c r="G52" s="687"/>
      <c r="H52" s="687"/>
      <c r="I52" s="687"/>
      <c r="J52" s="687"/>
      <c r="K52" s="687"/>
      <c r="L52" s="687"/>
      <c r="M52" s="687"/>
      <c r="N52" s="687">
        <v>0</v>
      </c>
      <c r="O52" s="687"/>
      <c r="P52" s="687"/>
      <c r="Q52" s="687"/>
      <c r="R52" s="687"/>
      <c r="S52" s="687"/>
      <c r="T52" s="687"/>
      <c r="U52" s="687"/>
      <c r="V52" s="687"/>
      <c r="W52" s="687"/>
      <c r="X52" s="687"/>
      <c r="Y52" s="687"/>
      <c r="Z52" s="687"/>
      <c r="AA52" s="687"/>
      <c r="AB52" s="687"/>
      <c r="AC52" s="709"/>
      <c r="AD52" s="598">
        <f t="shared" si="6"/>
        <v>0</v>
      </c>
      <c r="AE52" s="492">
        <f t="shared" si="7"/>
        <v>0</v>
      </c>
      <c r="AF52" s="467" t="str">
        <f t="shared" si="10"/>
        <v>sell</v>
      </c>
    </row>
    <row r="53" spans="1:32" s="360" customFormat="1" hidden="1" x14ac:dyDescent="0.2">
      <c r="A53" s="644" t="s">
        <v>278</v>
      </c>
      <c r="B53" s="488" t="s">
        <v>241</v>
      </c>
      <c r="C53" s="488" t="s">
        <v>280</v>
      </c>
      <c r="D53" s="489">
        <f t="shared" si="9"/>
        <v>-0.25</v>
      </c>
      <c r="E53" s="489"/>
      <c r="F53" s="687"/>
      <c r="G53" s="687"/>
      <c r="H53" s="687"/>
      <c r="I53" s="687"/>
      <c r="J53" s="687"/>
      <c r="K53" s="687"/>
      <c r="L53" s="687"/>
      <c r="M53" s="687"/>
      <c r="N53" s="687"/>
      <c r="O53" s="687">
        <v>0</v>
      </c>
      <c r="P53" s="687"/>
      <c r="Q53" s="687"/>
      <c r="R53" s="687"/>
      <c r="S53" s="687"/>
      <c r="T53" s="687"/>
      <c r="U53" s="687"/>
      <c r="V53" s="687"/>
      <c r="W53" s="687"/>
      <c r="X53" s="687"/>
      <c r="Y53" s="687"/>
      <c r="Z53" s="687"/>
      <c r="AA53" s="687"/>
      <c r="AB53" s="687"/>
      <c r="AC53" s="709"/>
      <c r="AD53" s="598">
        <f t="shared" si="6"/>
        <v>0</v>
      </c>
      <c r="AE53" s="492">
        <f t="shared" si="7"/>
        <v>0</v>
      </c>
      <c r="AF53" s="467" t="str">
        <f t="shared" si="10"/>
        <v>sell</v>
      </c>
    </row>
    <row r="54" spans="1:32" s="360" customFormat="1" hidden="1" x14ac:dyDescent="0.2">
      <c r="A54" s="644" t="s">
        <v>278</v>
      </c>
      <c r="B54" s="488" t="s">
        <v>241</v>
      </c>
      <c r="C54" s="488" t="s">
        <v>280</v>
      </c>
      <c r="D54" s="489">
        <f t="shared" si="9"/>
        <v>-0.25</v>
      </c>
      <c r="E54" s="489"/>
      <c r="F54" s="687"/>
      <c r="G54" s="687"/>
      <c r="H54" s="687"/>
      <c r="I54" s="687"/>
      <c r="J54" s="687"/>
      <c r="K54" s="687"/>
      <c r="L54" s="687"/>
      <c r="M54" s="687"/>
      <c r="N54" s="687"/>
      <c r="O54" s="687"/>
      <c r="P54" s="687">
        <v>0</v>
      </c>
      <c r="Q54" s="687"/>
      <c r="R54" s="687"/>
      <c r="S54" s="687"/>
      <c r="T54" s="687"/>
      <c r="U54" s="687"/>
      <c r="V54" s="687"/>
      <c r="W54" s="687"/>
      <c r="X54" s="687"/>
      <c r="Y54" s="687"/>
      <c r="Z54" s="687"/>
      <c r="AA54" s="687"/>
      <c r="AB54" s="687"/>
      <c r="AC54" s="709"/>
      <c r="AD54" s="598">
        <f t="shared" si="6"/>
        <v>0</v>
      </c>
      <c r="AE54" s="492">
        <f t="shared" si="7"/>
        <v>0</v>
      </c>
      <c r="AF54" s="467" t="str">
        <f t="shared" si="10"/>
        <v>sell</v>
      </c>
    </row>
    <row r="55" spans="1:32" s="360" customFormat="1" hidden="1" x14ac:dyDescent="0.2">
      <c r="A55" s="644" t="s">
        <v>278</v>
      </c>
      <c r="B55" s="488" t="s">
        <v>241</v>
      </c>
      <c r="C55" s="488" t="s">
        <v>280</v>
      </c>
      <c r="D55" s="489">
        <f t="shared" si="9"/>
        <v>-0.25</v>
      </c>
      <c r="E55" s="489"/>
      <c r="F55" s="687"/>
      <c r="G55" s="687"/>
      <c r="H55" s="687"/>
      <c r="I55" s="687"/>
      <c r="J55" s="687"/>
      <c r="K55" s="687"/>
      <c r="L55" s="687"/>
      <c r="M55" s="687"/>
      <c r="N55" s="687"/>
      <c r="O55" s="687"/>
      <c r="P55" s="687"/>
      <c r="Q55" s="687">
        <v>0</v>
      </c>
      <c r="R55" s="687"/>
      <c r="S55" s="687"/>
      <c r="T55" s="687"/>
      <c r="U55" s="687"/>
      <c r="V55" s="687"/>
      <c r="W55" s="687"/>
      <c r="X55" s="687"/>
      <c r="Y55" s="687"/>
      <c r="Z55" s="687"/>
      <c r="AA55" s="687"/>
      <c r="AB55" s="687"/>
      <c r="AC55" s="709"/>
      <c r="AD55" s="598">
        <f t="shared" si="6"/>
        <v>0</v>
      </c>
      <c r="AE55" s="492">
        <f t="shared" si="7"/>
        <v>0</v>
      </c>
      <c r="AF55" s="467" t="str">
        <f t="shared" si="10"/>
        <v>sell</v>
      </c>
    </row>
    <row r="56" spans="1:32" s="360" customFormat="1" hidden="1" x14ac:dyDescent="0.2">
      <c r="A56" s="644" t="s">
        <v>278</v>
      </c>
      <c r="B56" s="488" t="s">
        <v>241</v>
      </c>
      <c r="C56" s="488" t="s">
        <v>280</v>
      </c>
      <c r="D56" s="489">
        <f t="shared" si="9"/>
        <v>-0.25</v>
      </c>
      <c r="E56" s="489"/>
      <c r="F56" s="687"/>
      <c r="G56" s="687"/>
      <c r="H56" s="687"/>
      <c r="I56" s="687"/>
      <c r="J56" s="687"/>
      <c r="K56" s="687"/>
      <c r="L56" s="687"/>
      <c r="M56" s="687"/>
      <c r="N56" s="687"/>
      <c r="O56" s="687"/>
      <c r="P56" s="687"/>
      <c r="Q56" s="687"/>
      <c r="R56" s="687">
        <v>0</v>
      </c>
      <c r="S56" s="687"/>
      <c r="T56" s="687"/>
      <c r="U56" s="687"/>
      <c r="V56" s="687"/>
      <c r="W56" s="687"/>
      <c r="X56" s="687"/>
      <c r="Y56" s="687"/>
      <c r="Z56" s="687"/>
      <c r="AA56" s="687"/>
      <c r="AB56" s="687"/>
      <c r="AC56" s="709"/>
      <c r="AD56" s="598">
        <f t="shared" si="6"/>
        <v>0</v>
      </c>
      <c r="AE56" s="492">
        <f t="shared" si="7"/>
        <v>0</v>
      </c>
      <c r="AF56" s="467" t="str">
        <f t="shared" si="10"/>
        <v>sell</v>
      </c>
    </row>
    <row r="57" spans="1:32" s="360" customFormat="1" hidden="1" x14ac:dyDescent="0.2">
      <c r="A57" s="644" t="s">
        <v>278</v>
      </c>
      <c r="B57" s="488" t="s">
        <v>241</v>
      </c>
      <c r="C57" s="488" t="s">
        <v>280</v>
      </c>
      <c r="D57" s="489">
        <f t="shared" si="9"/>
        <v>-0.25</v>
      </c>
      <c r="E57" s="489"/>
      <c r="F57" s="687"/>
      <c r="G57" s="687"/>
      <c r="H57" s="687"/>
      <c r="I57" s="687"/>
      <c r="J57" s="687"/>
      <c r="K57" s="687"/>
      <c r="L57" s="687"/>
      <c r="M57" s="687"/>
      <c r="N57" s="687"/>
      <c r="O57" s="687"/>
      <c r="P57" s="687"/>
      <c r="Q57" s="687"/>
      <c r="R57" s="687"/>
      <c r="S57" s="687">
        <v>0</v>
      </c>
      <c r="T57" s="687"/>
      <c r="U57" s="687"/>
      <c r="V57" s="687"/>
      <c r="W57" s="687"/>
      <c r="X57" s="687"/>
      <c r="Y57" s="687"/>
      <c r="Z57" s="687"/>
      <c r="AA57" s="687"/>
      <c r="AB57" s="687"/>
      <c r="AC57" s="709"/>
      <c r="AD57" s="598">
        <f t="shared" si="6"/>
        <v>0</v>
      </c>
      <c r="AE57" s="492">
        <f t="shared" si="7"/>
        <v>0</v>
      </c>
      <c r="AF57" s="467" t="str">
        <f t="shared" si="10"/>
        <v>sell</v>
      </c>
    </row>
    <row r="58" spans="1:32" s="360" customFormat="1" hidden="1" x14ac:dyDescent="0.2">
      <c r="A58" s="644" t="s">
        <v>278</v>
      </c>
      <c r="B58" s="488" t="s">
        <v>241</v>
      </c>
      <c r="C58" s="488" t="s">
        <v>280</v>
      </c>
      <c r="D58" s="489">
        <f t="shared" si="9"/>
        <v>-0.25</v>
      </c>
      <c r="E58" s="489"/>
      <c r="F58" s="687"/>
      <c r="G58" s="687"/>
      <c r="H58" s="687"/>
      <c r="I58" s="687"/>
      <c r="J58" s="687"/>
      <c r="K58" s="687"/>
      <c r="L58" s="687"/>
      <c r="M58" s="687"/>
      <c r="N58" s="687"/>
      <c r="O58" s="687"/>
      <c r="P58" s="687"/>
      <c r="Q58" s="687"/>
      <c r="R58" s="687"/>
      <c r="S58" s="687"/>
      <c r="T58" s="687">
        <v>0</v>
      </c>
      <c r="U58" s="687"/>
      <c r="V58" s="687"/>
      <c r="W58" s="687"/>
      <c r="X58" s="687"/>
      <c r="Y58" s="687"/>
      <c r="Z58" s="687"/>
      <c r="AA58" s="687"/>
      <c r="AB58" s="687"/>
      <c r="AC58" s="709"/>
      <c r="AD58" s="598">
        <f t="shared" si="6"/>
        <v>0</v>
      </c>
      <c r="AE58" s="492">
        <f t="shared" si="7"/>
        <v>0</v>
      </c>
      <c r="AF58" s="467" t="str">
        <f t="shared" si="10"/>
        <v>sell</v>
      </c>
    </row>
    <row r="59" spans="1:32" s="360" customFormat="1" hidden="1" x14ac:dyDescent="0.2">
      <c r="A59" s="644" t="s">
        <v>278</v>
      </c>
      <c r="B59" s="488" t="s">
        <v>241</v>
      </c>
      <c r="C59" s="488" t="s">
        <v>280</v>
      </c>
      <c r="D59" s="489">
        <f t="shared" si="9"/>
        <v>-0.25</v>
      </c>
      <c r="E59" s="489"/>
      <c r="F59" s="687"/>
      <c r="G59" s="687"/>
      <c r="H59" s="687"/>
      <c r="I59" s="687"/>
      <c r="J59" s="687"/>
      <c r="K59" s="687"/>
      <c r="L59" s="687"/>
      <c r="M59" s="687"/>
      <c r="N59" s="687"/>
      <c r="O59" s="687"/>
      <c r="P59" s="687"/>
      <c r="Q59" s="687"/>
      <c r="R59" s="687"/>
      <c r="S59" s="687"/>
      <c r="T59" s="687"/>
      <c r="U59" s="687">
        <v>0</v>
      </c>
      <c r="V59" s="687"/>
      <c r="W59" s="687"/>
      <c r="X59" s="687"/>
      <c r="Y59" s="687"/>
      <c r="Z59" s="687"/>
      <c r="AA59" s="687"/>
      <c r="AB59" s="687"/>
      <c r="AC59" s="709"/>
      <c r="AD59" s="598">
        <f t="shared" si="6"/>
        <v>0</v>
      </c>
      <c r="AE59" s="492">
        <f t="shared" si="7"/>
        <v>0</v>
      </c>
      <c r="AF59" s="467" t="str">
        <f t="shared" si="10"/>
        <v>sell</v>
      </c>
    </row>
    <row r="60" spans="1:32" s="360" customFormat="1" hidden="1" x14ac:dyDescent="0.2">
      <c r="A60" s="644" t="s">
        <v>278</v>
      </c>
      <c r="B60" s="488" t="s">
        <v>241</v>
      </c>
      <c r="C60" s="488" t="s">
        <v>280</v>
      </c>
      <c r="D60" s="489">
        <f t="shared" si="9"/>
        <v>-0.25</v>
      </c>
      <c r="E60" s="489"/>
      <c r="F60" s="687"/>
      <c r="G60" s="687"/>
      <c r="H60" s="687"/>
      <c r="I60" s="687"/>
      <c r="J60" s="687"/>
      <c r="K60" s="687"/>
      <c r="L60" s="687"/>
      <c r="M60" s="687"/>
      <c r="N60" s="687"/>
      <c r="O60" s="687"/>
      <c r="P60" s="687"/>
      <c r="Q60" s="687"/>
      <c r="R60" s="687"/>
      <c r="S60" s="687"/>
      <c r="T60" s="687"/>
      <c r="U60" s="687"/>
      <c r="V60" s="687">
        <v>0</v>
      </c>
      <c r="W60" s="687"/>
      <c r="X60" s="687"/>
      <c r="Y60" s="687"/>
      <c r="Z60" s="687"/>
      <c r="AA60" s="687"/>
      <c r="AB60" s="687"/>
      <c r="AC60" s="709"/>
      <c r="AD60" s="598">
        <f t="shared" si="6"/>
        <v>0</v>
      </c>
      <c r="AE60" s="492">
        <f t="shared" si="7"/>
        <v>0</v>
      </c>
      <c r="AF60" s="467" t="str">
        <f t="shared" si="10"/>
        <v>sell</v>
      </c>
    </row>
    <row r="61" spans="1:32" s="360" customFormat="1" hidden="1" x14ac:dyDescent="0.2">
      <c r="A61" s="644" t="s">
        <v>278</v>
      </c>
      <c r="B61" s="488" t="s">
        <v>241</v>
      </c>
      <c r="C61" s="488" t="s">
        <v>280</v>
      </c>
      <c r="D61" s="489">
        <f t="shared" si="9"/>
        <v>-0.25</v>
      </c>
      <c r="E61" s="489"/>
      <c r="F61" s="687"/>
      <c r="G61" s="687"/>
      <c r="H61" s="687"/>
      <c r="I61" s="687"/>
      <c r="J61" s="687"/>
      <c r="K61" s="687"/>
      <c r="L61" s="687"/>
      <c r="M61" s="687"/>
      <c r="N61" s="687"/>
      <c r="O61" s="687"/>
      <c r="P61" s="687"/>
      <c r="Q61" s="687"/>
      <c r="R61" s="687"/>
      <c r="S61" s="687"/>
      <c r="T61" s="687"/>
      <c r="U61" s="687"/>
      <c r="V61" s="687"/>
      <c r="W61" s="687">
        <v>0</v>
      </c>
      <c r="X61" s="687"/>
      <c r="Y61" s="687"/>
      <c r="Z61" s="687"/>
      <c r="AA61" s="687"/>
      <c r="AB61" s="687"/>
      <c r="AC61" s="709"/>
      <c r="AD61" s="598">
        <f t="shared" si="6"/>
        <v>0</v>
      </c>
      <c r="AE61" s="492">
        <f t="shared" si="7"/>
        <v>0</v>
      </c>
      <c r="AF61" s="467" t="str">
        <f t="shared" si="10"/>
        <v>sell</v>
      </c>
    </row>
    <row r="62" spans="1:32" s="360" customFormat="1" hidden="1" x14ac:dyDescent="0.2">
      <c r="A62" s="644" t="s">
        <v>278</v>
      </c>
      <c r="B62" s="488" t="s">
        <v>241</v>
      </c>
      <c r="C62" s="488" t="s">
        <v>280</v>
      </c>
      <c r="D62" s="489">
        <f t="shared" si="9"/>
        <v>-0.25</v>
      </c>
      <c r="E62" s="489"/>
      <c r="F62" s="687"/>
      <c r="G62" s="687"/>
      <c r="H62" s="687"/>
      <c r="I62" s="687"/>
      <c r="J62" s="687"/>
      <c r="K62" s="687"/>
      <c r="L62" s="687"/>
      <c r="M62" s="687"/>
      <c r="N62" s="687"/>
      <c r="O62" s="687"/>
      <c r="P62" s="687"/>
      <c r="Q62" s="687"/>
      <c r="R62" s="687"/>
      <c r="S62" s="687"/>
      <c r="T62" s="687"/>
      <c r="U62" s="687"/>
      <c r="V62" s="687"/>
      <c r="W62" s="687"/>
      <c r="X62" s="687">
        <v>0</v>
      </c>
      <c r="Y62" s="687"/>
      <c r="Z62" s="687"/>
      <c r="AA62" s="687"/>
      <c r="AB62" s="687"/>
      <c r="AC62" s="709"/>
      <c r="AD62" s="598">
        <f t="shared" si="6"/>
        <v>0</v>
      </c>
      <c r="AE62" s="492">
        <f t="shared" si="7"/>
        <v>0</v>
      </c>
      <c r="AF62" s="467" t="str">
        <f t="shared" si="10"/>
        <v>sell</v>
      </c>
    </row>
    <row r="63" spans="1:32" s="360" customFormat="1" hidden="1" x14ac:dyDescent="0.2">
      <c r="A63" s="644" t="s">
        <v>278</v>
      </c>
      <c r="B63" s="488" t="s">
        <v>241</v>
      </c>
      <c r="C63" s="488" t="s">
        <v>280</v>
      </c>
      <c r="D63" s="489">
        <f t="shared" si="9"/>
        <v>-0.25</v>
      </c>
      <c r="E63" s="489"/>
      <c r="F63" s="687"/>
      <c r="G63" s="687"/>
      <c r="H63" s="687"/>
      <c r="I63" s="687"/>
      <c r="J63" s="687"/>
      <c r="K63" s="687"/>
      <c r="L63" s="687"/>
      <c r="M63" s="687"/>
      <c r="N63" s="687"/>
      <c r="O63" s="687"/>
      <c r="P63" s="687"/>
      <c r="Q63" s="687"/>
      <c r="R63" s="687"/>
      <c r="S63" s="687"/>
      <c r="T63" s="687"/>
      <c r="U63" s="687"/>
      <c r="V63" s="687"/>
      <c r="W63" s="687"/>
      <c r="X63" s="687"/>
      <c r="Y63" s="687">
        <v>0</v>
      </c>
      <c r="Z63" s="687"/>
      <c r="AA63" s="687"/>
      <c r="AB63" s="687"/>
      <c r="AC63" s="709"/>
      <c r="AD63" s="598">
        <f t="shared" si="6"/>
        <v>0</v>
      </c>
      <c r="AE63" s="492">
        <f t="shared" si="7"/>
        <v>0</v>
      </c>
      <c r="AF63" s="467" t="str">
        <f t="shared" si="10"/>
        <v>sell</v>
      </c>
    </row>
    <row r="64" spans="1:32" s="360" customFormat="1" hidden="1" x14ac:dyDescent="0.2">
      <c r="A64" s="644" t="s">
        <v>278</v>
      </c>
      <c r="B64" s="488" t="s">
        <v>241</v>
      </c>
      <c r="C64" s="488" t="s">
        <v>280</v>
      </c>
      <c r="D64" s="489">
        <f t="shared" si="9"/>
        <v>-0.25</v>
      </c>
      <c r="E64" s="489"/>
      <c r="F64" s="687"/>
      <c r="G64" s="687"/>
      <c r="H64" s="687"/>
      <c r="I64" s="687"/>
      <c r="J64" s="687"/>
      <c r="K64" s="687"/>
      <c r="L64" s="687"/>
      <c r="M64" s="687"/>
      <c r="N64" s="687"/>
      <c r="O64" s="687"/>
      <c r="P64" s="687"/>
      <c r="Q64" s="687"/>
      <c r="R64" s="687"/>
      <c r="S64" s="687"/>
      <c r="T64" s="687"/>
      <c r="U64" s="687"/>
      <c r="V64" s="687"/>
      <c r="W64" s="687"/>
      <c r="X64" s="687"/>
      <c r="Y64" s="687"/>
      <c r="Z64" s="687">
        <v>0</v>
      </c>
      <c r="AA64" s="687"/>
      <c r="AB64" s="687"/>
      <c r="AC64" s="709"/>
      <c r="AD64" s="598">
        <f t="shared" si="6"/>
        <v>0</v>
      </c>
      <c r="AE64" s="492">
        <f t="shared" si="7"/>
        <v>0</v>
      </c>
      <c r="AF64" s="467" t="str">
        <f t="shared" si="10"/>
        <v>sell</v>
      </c>
    </row>
    <row r="65" spans="1:32" s="360" customFormat="1" hidden="1" x14ac:dyDescent="0.2">
      <c r="A65" s="644" t="s">
        <v>278</v>
      </c>
      <c r="B65" s="488" t="s">
        <v>241</v>
      </c>
      <c r="C65" s="488" t="s">
        <v>280</v>
      </c>
      <c r="D65" s="489">
        <f t="shared" si="9"/>
        <v>-0.25</v>
      </c>
      <c r="E65" s="489"/>
      <c r="F65" s="687"/>
      <c r="G65" s="687"/>
      <c r="H65" s="687"/>
      <c r="I65" s="687"/>
      <c r="J65" s="687"/>
      <c r="K65" s="687"/>
      <c r="L65" s="687"/>
      <c r="M65" s="687"/>
      <c r="N65" s="687"/>
      <c r="O65" s="687"/>
      <c r="P65" s="687"/>
      <c r="Q65" s="687"/>
      <c r="R65" s="687"/>
      <c r="S65" s="687"/>
      <c r="T65" s="687"/>
      <c r="U65" s="687"/>
      <c r="V65" s="687"/>
      <c r="W65" s="687"/>
      <c r="X65" s="687"/>
      <c r="Y65" s="687"/>
      <c r="Z65" s="687"/>
      <c r="AA65" s="687">
        <v>0</v>
      </c>
      <c r="AB65" s="687"/>
      <c r="AC65" s="709"/>
      <c r="AD65" s="598">
        <f t="shared" si="6"/>
        <v>0</v>
      </c>
      <c r="AE65" s="492">
        <f t="shared" si="7"/>
        <v>0</v>
      </c>
      <c r="AF65" s="467" t="str">
        <f t="shared" si="10"/>
        <v>sell</v>
      </c>
    </row>
    <row r="66" spans="1:32" s="360" customFormat="1" hidden="1" x14ac:dyDescent="0.2">
      <c r="A66" s="644" t="s">
        <v>278</v>
      </c>
      <c r="B66" s="488" t="s">
        <v>241</v>
      </c>
      <c r="C66" s="488" t="s">
        <v>280</v>
      </c>
      <c r="D66" s="489">
        <f t="shared" si="9"/>
        <v>-0.25</v>
      </c>
      <c r="E66" s="489"/>
      <c r="F66" s="687"/>
      <c r="G66" s="687"/>
      <c r="H66" s="687"/>
      <c r="I66" s="687"/>
      <c r="J66" s="687"/>
      <c r="K66" s="687"/>
      <c r="L66" s="687"/>
      <c r="M66" s="687"/>
      <c r="N66" s="687"/>
      <c r="O66" s="687"/>
      <c r="P66" s="687"/>
      <c r="Q66" s="687"/>
      <c r="R66" s="687"/>
      <c r="S66" s="687"/>
      <c r="T66" s="687"/>
      <c r="U66" s="687"/>
      <c r="V66" s="687"/>
      <c r="W66" s="687"/>
      <c r="X66" s="687"/>
      <c r="Y66" s="687"/>
      <c r="Z66" s="687"/>
      <c r="AA66" s="687"/>
      <c r="AB66" s="687">
        <v>0</v>
      </c>
      <c r="AC66" s="709"/>
      <c r="AD66" s="598">
        <f t="shared" si="6"/>
        <v>0</v>
      </c>
      <c r="AE66" s="492">
        <f t="shared" si="7"/>
        <v>0</v>
      </c>
      <c r="AF66" s="467" t="str">
        <f t="shared" si="10"/>
        <v>sell</v>
      </c>
    </row>
    <row r="67" spans="1:32" s="360" customFormat="1" hidden="1" x14ac:dyDescent="0.2">
      <c r="A67" s="644"/>
      <c r="B67" s="488"/>
      <c r="C67" s="488"/>
      <c r="D67" s="489"/>
      <c r="E67" s="489"/>
      <c r="F67" s="687"/>
      <c r="G67" s="686"/>
      <c r="H67" s="687"/>
      <c r="I67" s="687"/>
      <c r="J67" s="687"/>
      <c r="K67" s="687"/>
      <c r="L67" s="687"/>
      <c r="M67" s="687"/>
      <c r="N67" s="687"/>
      <c r="O67" s="687"/>
      <c r="P67" s="687"/>
      <c r="Q67" s="687"/>
      <c r="R67" s="687"/>
      <c r="S67" s="687"/>
      <c r="T67" s="687"/>
      <c r="U67" s="687"/>
      <c r="V67" s="687"/>
      <c r="W67" s="687"/>
      <c r="X67" s="687"/>
      <c r="Y67" s="687"/>
      <c r="Z67" s="687"/>
      <c r="AA67" s="687"/>
      <c r="AB67" s="687"/>
      <c r="AC67" s="709"/>
      <c r="AD67" s="599">
        <f t="shared" si="6"/>
        <v>0</v>
      </c>
      <c r="AE67" s="588">
        <f t="shared" si="7"/>
        <v>0</v>
      </c>
      <c r="AF67" s="538" t="str">
        <f t="shared" si="10"/>
        <v>sell</v>
      </c>
    </row>
    <row r="68" spans="1:32" s="360" customFormat="1" ht="12.75" customHeight="1" x14ac:dyDescent="0.2">
      <c r="A68" s="680"/>
      <c r="B68" s="681"/>
      <c r="C68" s="681"/>
      <c r="D68" s="682"/>
      <c r="E68" s="682" t="s">
        <v>15</v>
      </c>
      <c r="F68" s="699"/>
      <c r="G68" s="686"/>
      <c r="H68" s="687"/>
      <c r="I68" s="687"/>
      <c r="J68" s="687"/>
      <c r="K68" s="687"/>
      <c r="L68" s="687"/>
      <c r="M68" s="687"/>
      <c r="N68" s="687"/>
      <c r="O68" s="687"/>
      <c r="P68" s="687"/>
      <c r="Q68" s="687"/>
      <c r="R68" s="687"/>
      <c r="S68" s="687"/>
      <c r="T68" s="687"/>
      <c r="U68" s="687"/>
      <c r="V68" s="687"/>
      <c r="W68" s="687"/>
      <c r="X68" s="687"/>
      <c r="Y68" s="687"/>
      <c r="Z68" s="687"/>
      <c r="AA68" s="687"/>
      <c r="AB68" s="687"/>
      <c r="AC68" s="703"/>
      <c r="AD68" s="599">
        <f>SUM(F68:AC68)</f>
        <v>0</v>
      </c>
      <c r="AE68" s="588">
        <f t="shared" ref="AE68:AE77" si="11">AD68*D68</f>
        <v>0</v>
      </c>
      <c r="AF68" s="538" t="str">
        <f t="shared" si="10"/>
        <v>sell</v>
      </c>
    </row>
    <row r="69" spans="1:32" s="360" customFormat="1" ht="12.75" customHeight="1" x14ac:dyDescent="0.2">
      <c r="A69" s="644" t="s">
        <v>369</v>
      </c>
      <c r="B69" s="683" t="s">
        <v>241</v>
      </c>
      <c r="C69" s="683" t="s">
        <v>152</v>
      </c>
      <c r="D69" s="710"/>
      <c r="E69" s="684"/>
      <c r="F69" s="699"/>
      <c r="G69" s="705"/>
      <c r="H69" s="705"/>
      <c r="I69" s="705"/>
      <c r="J69" s="705"/>
      <c r="K69" s="705"/>
      <c r="L69" s="705"/>
      <c r="M69" s="697"/>
      <c r="N69" s="697"/>
      <c r="O69" s="697"/>
      <c r="P69" s="697"/>
      <c r="Q69" s="697"/>
      <c r="R69" s="697"/>
      <c r="S69" s="697"/>
      <c r="T69" s="697"/>
      <c r="U69" s="697"/>
      <c r="V69" s="697"/>
      <c r="W69" s="697"/>
      <c r="X69" s="697"/>
      <c r="Y69" s="697"/>
      <c r="Z69" s="697"/>
      <c r="AA69" s="697"/>
      <c r="AB69" s="697"/>
      <c r="AC69" s="706"/>
      <c r="AD69" s="599">
        <f t="shared" ref="AD69:AD77" si="12">SUM(E69:AC69)</f>
        <v>0</v>
      </c>
      <c r="AE69" s="588">
        <f t="shared" si="11"/>
        <v>0</v>
      </c>
      <c r="AF69" s="538" t="str">
        <f t="shared" ref="AF69:AF77" si="13">IF(AD69&lt;0,"buy","sell")</f>
        <v>sell</v>
      </c>
    </row>
    <row r="70" spans="1:32" s="360" customFormat="1" ht="12.75" customHeight="1" x14ac:dyDescent="0.2">
      <c r="A70" s="644" t="s">
        <v>370</v>
      </c>
      <c r="B70" s="683" t="s">
        <v>241</v>
      </c>
      <c r="C70" s="683" t="s">
        <v>152</v>
      </c>
      <c r="D70" s="710"/>
      <c r="E70" s="684"/>
      <c r="F70" s="699"/>
      <c r="G70" s="705"/>
      <c r="H70" s="705"/>
      <c r="I70" s="705"/>
      <c r="J70" s="705"/>
      <c r="K70" s="705"/>
      <c r="L70" s="705"/>
      <c r="M70" s="697"/>
      <c r="N70" s="697"/>
      <c r="O70" s="697"/>
      <c r="P70" s="697"/>
      <c r="Q70" s="697"/>
      <c r="R70" s="697"/>
      <c r="S70" s="697"/>
      <c r="T70" s="697"/>
      <c r="U70" s="697"/>
      <c r="V70" s="697"/>
      <c r="W70" s="697"/>
      <c r="X70" s="697"/>
      <c r="Y70" s="697"/>
      <c r="Z70" s="697"/>
      <c r="AA70" s="697"/>
      <c r="AB70" s="697"/>
      <c r="AC70" s="706"/>
      <c r="AD70" s="599">
        <f t="shared" si="12"/>
        <v>0</v>
      </c>
      <c r="AE70" s="588">
        <f t="shared" si="11"/>
        <v>0</v>
      </c>
      <c r="AF70" s="538" t="str">
        <f t="shared" si="13"/>
        <v>sell</v>
      </c>
    </row>
    <row r="71" spans="1:32" s="360" customFormat="1" ht="12.75" customHeight="1" x14ac:dyDescent="0.2">
      <c r="A71" s="644" t="s">
        <v>371</v>
      </c>
      <c r="B71" s="683" t="s">
        <v>241</v>
      </c>
      <c r="C71" s="683" t="s">
        <v>152</v>
      </c>
      <c r="D71" s="710"/>
      <c r="E71" s="684"/>
      <c r="F71" s="699"/>
      <c r="G71" s="705"/>
      <c r="H71" s="705"/>
      <c r="I71" s="705"/>
      <c r="J71" s="705"/>
      <c r="K71" s="705"/>
      <c r="L71" s="705"/>
      <c r="M71" s="697"/>
      <c r="N71" s="697"/>
      <c r="O71" s="697"/>
      <c r="P71" s="697"/>
      <c r="Q71" s="697"/>
      <c r="R71" s="697"/>
      <c r="S71" s="697"/>
      <c r="T71" s="697"/>
      <c r="U71" s="697"/>
      <c r="V71" s="697"/>
      <c r="W71" s="697"/>
      <c r="X71" s="697"/>
      <c r="Y71" s="697"/>
      <c r="Z71" s="697"/>
      <c r="AA71" s="697"/>
      <c r="AB71" s="697"/>
      <c r="AC71" s="706"/>
      <c r="AD71" s="599">
        <f>SUM(E71:AC71)</f>
        <v>0</v>
      </c>
      <c r="AE71" s="588">
        <f>AD71*D71</f>
        <v>0</v>
      </c>
      <c r="AF71" s="538" t="str">
        <f>IF(AD71&lt;0,"buy","sell")</f>
        <v>sell</v>
      </c>
    </row>
    <row r="72" spans="1:32" s="360" customFormat="1" ht="12.75" customHeight="1" x14ac:dyDescent="0.2">
      <c r="A72" s="644" t="s">
        <v>225</v>
      </c>
      <c r="B72" s="683" t="s">
        <v>241</v>
      </c>
      <c r="C72" s="683" t="s">
        <v>152</v>
      </c>
      <c r="D72" s="710"/>
      <c r="E72" s="684"/>
      <c r="F72" s="699"/>
      <c r="G72" s="705"/>
      <c r="H72" s="705"/>
      <c r="I72" s="705"/>
      <c r="J72" s="705"/>
      <c r="K72" s="705"/>
      <c r="L72" s="705"/>
      <c r="M72" s="697"/>
      <c r="N72" s="697"/>
      <c r="O72" s="697"/>
      <c r="P72" s="697"/>
      <c r="Q72" s="697"/>
      <c r="R72" s="697"/>
      <c r="S72" s="697"/>
      <c r="T72" s="697"/>
      <c r="U72" s="697"/>
      <c r="V72" s="697"/>
      <c r="W72" s="697"/>
      <c r="X72" s="697"/>
      <c r="Y72" s="697"/>
      <c r="Z72" s="697"/>
      <c r="AA72" s="697"/>
      <c r="AB72" s="697"/>
      <c r="AC72" s="706"/>
      <c r="AD72" s="599">
        <f t="shared" si="12"/>
        <v>0</v>
      </c>
      <c r="AE72" s="588">
        <f t="shared" si="11"/>
        <v>0</v>
      </c>
      <c r="AF72" s="538" t="str">
        <f t="shared" si="13"/>
        <v>sell</v>
      </c>
    </row>
    <row r="73" spans="1:32" s="360" customFormat="1" ht="12.75" customHeight="1" x14ac:dyDescent="0.2">
      <c r="A73" s="644" t="s">
        <v>368</v>
      </c>
      <c r="B73" s="683" t="s">
        <v>367</v>
      </c>
      <c r="C73" s="683" t="s">
        <v>152</v>
      </c>
      <c r="D73" s="720"/>
      <c r="E73" s="684"/>
      <c r="F73" s="721"/>
      <c r="G73" s="721"/>
      <c r="H73" s="721"/>
      <c r="I73" s="721"/>
      <c r="J73" s="721"/>
      <c r="K73" s="721"/>
      <c r="L73" s="699"/>
      <c r="M73" s="699"/>
      <c r="N73" s="699"/>
      <c r="O73" s="699"/>
      <c r="P73" s="699"/>
      <c r="Q73" s="699"/>
      <c r="R73" s="699"/>
      <c r="S73" s="699"/>
      <c r="T73" s="699"/>
      <c r="U73" s="699"/>
      <c r="V73" s="699"/>
      <c r="W73" s="699"/>
      <c r="X73" s="699"/>
      <c r="Y73" s="699"/>
      <c r="Z73" s="699"/>
      <c r="AA73" s="699"/>
      <c r="AB73" s="721"/>
      <c r="AC73" s="721"/>
      <c r="AD73" s="599">
        <f>SUM(E73:AC73)</f>
        <v>0</v>
      </c>
      <c r="AE73" s="588">
        <f>AD73*D73</f>
        <v>0</v>
      </c>
      <c r="AF73" s="538" t="str">
        <f>IF(AD73&lt;0,"buy","sell")</f>
        <v>sell</v>
      </c>
    </row>
    <row r="74" spans="1:32" s="360" customFormat="1" ht="12.75" customHeight="1" x14ac:dyDescent="0.2">
      <c r="A74" s="644" t="s">
        <v>372</v>
      </c>
      <c r="B74" s="683" t="s">
        <v>241</v>
      </c>
      <c r="C74" s="683" t="s">
        <v>152</v>
      </c>
      <c r="D74" s="720"/>
      <c r="E74" s="684"/>
      <c r="F74" s="721"/>
      <c r="G74" s="721"/>
      <c r="H74" s="721"/>
      <c r="I74" s="721"/>
      <c r="J74" s="721"/>
      <c r="K74" s="721"/>
      <c r="L74" s="703"/>
      <c r="M74" s="697"/>
      <c r="N74" s="697"/>
      <c r="O74" s="697"/>
      <c r="P74" s="697"/>
      <c r="Q74" s="697"/>
      <c r="R74" s="697"/>
      <c r="S74" s="697"/>
      <c r="T74" s="697"/>
      <c r="U74" s="697"/>
      <c r="V74" s="697"/>
      <c r="W74" s="697"/>
      <c r="X74" s="697"/>
      <c r="Y74" s="697"/>
      <c r="Z74" s="697"/>
      <c r="AA74" s="697"/>
      <c r="AB74" s="701"/>
      <c r="AC74" s="701"/>
      <c r="AD74" s="599">
        <f>SUM(E74:AC74)</f>
        <v>0</v>
      </c>
      <c r="AE74" s="588">
        <f>AD74*D74</f>
        <v>0</v>
      </c>
      <c r="AF74" s="538" t="str">
        <f>IF(AD74&lt;0,"buy","sell")</f>
        <v>sell</v>
      </c>
    </row>
    <row r="75" spans="1:32" s="360" customFormat="1" ht="12.75" customHeight="1" x14ac:dyDescent="0.2">
      <c r="A75" s="644" t="s">
        <v>368</v>
      </c>
      <c r="B75" s="683" t="s">
        <v>241</v>
      </c>
      <c r="C75" s="683" t="s">
        <v>152</v>
      </c>
      <c r="D75" s="683"/>
      <c r="E75" s="684"/>
      <c r="F75" s="703"/>
      <c r="G75" s="701"/>
      <c r="H75" s="701"/>
      <c r="I75" s="701"/>
      <c r="J75" s="701"/>
      <c r="K75" s="701"/>
      <c r="L75" s="701"/>
      <c r="M75" s="697"/>
      <c r="N75" s="697"/>
      <c r="O75" s="697"/>
      <c r="P75" s="697"/>
      <c r="Q75" s="697"/>
      <c r="R75" s="697"/>
      <c r="S75" s="697"/>
      <c r="T75" s="697"/>
      <c r="U75" s="697"/>
      <c r="V75" s="697"/>
      <c r="W75" s="697"/>
      <c r="X75" s="697"/>
      <c r="Y75" s="697"/>
      <c r="Z75" s="697"/>
      <c r="AA75" s="697"/>
      <c r="AB75" s="697"/>
      <c r="AC75" s="702"/>
      <c r="AD75" s="599">
        <f>SUM(E75:AC75)</f>
        <v>0</v>
      </c>
      <c r="AE75" s="588">
        <f>AD75*D75</f>
        <v>0</v>
      </c>
      <c r="AF75" s="538" t="str">
        <f>IF(AD75&lt;0,"buy","sell")</f>
        <v>sell</v>
      </c>
    </row>
    <row r="76" spans="1:32" s="360" customFormat="1" x14ac:dyDescent="0.2">
      <c r="A76" s="644"/>
      <c r="B76" s="683"/>
      <c r="C76" s="683"/>
      <c r="D76" s="488"/>
      <c r="E76" s="684"/>
      <c r="F76" s="693"/>
      <c r="G76" s="694"/>
      <c r="H76" s="694"/>
      <c r="I76" s="694"/>
      <c r="J76" s="694"/>
      <c r="K76" s="694"/>
      <c r="L76" s="694"/>
      <c r="M76" s="694"/>
      <c r="N76" s="697"/>
      <c r="O76" s="694"/>
      <c r="P76" s="694"/>
      <c r="Q76" s="694"/>
      <c r="R76" s="694"/>
      <c r="S76" s="694"/>
      <c r="T76" s="694"/>
      <c r="U76" s="694"/>
      <c r="V76" s="694"/>
      <c r="W76" s="694"/>
      <c r="X76" s="694"/>
      <c r="Y76" s="694"/>
      <c r="Z76" s="694"/>
      <c r="AA76" s="694"/>
      <c r="AB76" s="694"/>
      <c r="AC76" s="685"/>
      <c r="AD76" s="599">
        <f t="shared" si="12"/>
        <v>0</v>
      </c>
      <c r="AE76" s="588">
        <f t="shared" si="11"/>
        <v>0</v>
      </c>
      <c r="AF76" s="538" t="str">
        <f t="shared" si="13"/>
        <v>sell</v>
      </c>
    </row>
    <row r="77" spans="1:32" s="360" customFormat="1" x14ac:dyDescent="0.2">
      <c r="A77" s="645"/>
      <c r="B77" s="582"/>
      <c r="C77" s="582"/>
      <c r="D77" s="583"/>
      <c r="E77" s="565"/>
      <c r="F77" s="692"/>
      <c r="G77" s="647"/>
      <c r="H77" s="647"/>
      <c r="I77" s="647"/>
      <c r="J77" s="647"/>
      <c r="K77" s="647"/>
      <c r="L77" s="647"/>
      <c r="M77" s="647"/>
      <c r="N77" s="698"/>
      <c r="O77" s="647"/>
      <c r="P77" s="647"/>
      <c r="Q77" s="647"/>
      <c r="R77" s="647"/>
      <c r="S77" s="647"/>
      <c r="T77" s="647"/>
      <c r="U77" s="647"/>
      <c r="V77" s="647"/>
      <c r="W77" s="647"/>
      <c r="X77" s="647"/>
      <c r="Y77" s="584"/>
      <c r="Z77" s="584"/>
      <c r="AA77" s="584"/>
      <c r="AB77" s="647"/>
      <c r="AC77" s="647"/>
      <c r="AD77" s="690">
        <f t="shared" si="12"/>
        <v>0</v>
      </c>
      <c r="AE77" s="588">
        <f t="shared" si="11"/>
        <v>0</v>
      </c>
      <c r="AF77" s="538" t="str">
        <f t="shared" si="13"/>
        <v>sell</v>
      </c>
    </row>
    <row r="78" spans="1:32" s="360" customFormat="1" x14ac:dyDescent="0.2">
      <c r="A78" s="645" t="s">
        <v>68</v>
      </c>
      <c r="B78" s="582" t="s">
        <v>373</v>
      </c>
      <c r="C78" s="582" t="s">
        <v>152</v>
      </c>
      <c r="D78" s="583">
        <v>50</v>
      </c>
      <c r="E78" s="565"/>
      <c r="F78" s="692">
        <v>40</v>
      </c>
      <c r="G78" s="647">
        <v>40</v>
      </c>
      <c r="H78" s="647">
        <v>40</v>
      </c>
      <c r="I78" s="647">
        <v>40</v>
      </c>
      <c r="J78" s="647">
        <v>40</v>
      </c>
      <c r="K78" s="647"/>
      <c r="L78" s="647"/>
      <c r="M78" s="647"/>
      <c r="N78" s="698"/>
      <c r="O78" s="647"/>
      <c r="P78" s="647"/>
      <c r="Q78" s="647"/>
      <c r="R78" s="647"/>
      <c r="S78" s="647"/>
      <c r="T78" s="647"/>
      <c r="U78" s="647"/>
      <c r="V78" s="647"/>
      <c r="W78" s="647"/>
      <c r="X78" s="647"/>
      <c r="Y78" s="584"/>
      <c r="Z78" s="584"/>
      <c r="AA78" s="584"/>
      <c r="AB78" s="647"/>
      <c r="AC78" s="647"/>
      <c r="AD78" s="690">
        <f t="shared" ref="AD78:AD87" si="14">SUM(E78:AC78)</f>
        <v>200</v>
      </c>
      <c r="AE78" s="588">
        <f t="shared" ref="AE78:AE85" si="15">AD78*D78</f>
        <v>10000</v>
      </c>
      <c r="AF78" s="538" t="str">
        <f t="shared" ref="AF78:AF85" si="16">IF(AD78&lt;0,"buy","sell")</f>
        <v>sell</v>
      </c>
    </row>
    <row r="79" spans="1:32" s="360" customFormat="1" x14ac:dyDescent="0.2">
      <c r="A79" s="645" t="s">
        <v>68</v>
      </c>
      <c r="B79" s="582" t="s">
        <v>367</v>
      </c>
      <c r="C79" s="582" t="s">
        <v>152</v>
      </c>
      <c r="D79" s="583">
        <v>60</v>
      </c>
      <c r="E79" s="565"/>
      <c r="F79" s="692"/>
      <c r="G79" s="647"/>
      <c r="H79" s="647"/>
      <c r="I79" s="647"/>
      <c r="J79" s="647"/>
      <c r="K79" s="647"/>
      <c r="L79" s="647"/>
      <c r="M79" s="647"/>
      <c r="N79" s="698"/>
      <c r="O79" s="647"/>
      <c r="P79" s="647"/>
      <c r="Q79" s="647"/>
      <c r="R79" s="647"/>
      <c r="S79" s="647"/>
      <c r="T79" s="647"/>
      <c r="U79" s="647"/>
      <c r="V79" s="647"/>
      <c r="W79" s="647"/>
      <c r="X79" s="647"/>
      <c r="Y79" s="584"/>
      <c r="Z79" s="584"/>
      <c r="AA79" s="584"/>
      <c r="AB79" s="647"/>
      <c r="AC79" s="647">
        <v>40</v>
      </c>
      <c r="AD79" s="690">
        <f>SUM(E79:AC79)</f>
        <v>40</v>
      </c>
      <c r="AE79" s="588">
        <f>AD79*D79</f>
        <v>2400</v>
      </c>
      <c r="AF79" s="538" t="str">
        <f>IF(AD79&lt;0,"buy","sell")</f>
        <v>sell</v>
      </c>
    </row>
    <row r="80" spans="1:32" s="360" customFormat="1" x14ac:dyDescent="0.2">
      <c r="A80" s="645" t="s">
        <v>67</v>
      </c>
      <c r="B80" s="582" t="s">
        <v>367</v>
      </c>
      <c r="C80" s="582" t="s">
        <v>280</v>
      </c>
      <c r="D80" s="583">
        <v>200</v>
      </c>
      <c r="E80" s="565"/>
      <c r="F80" s="692"/>
      <c r="G80" s="647"/>
      <c r="H80" s="647"/>
      <c r="I80" s="647"/>
      <c r="J80" s="647"/>
      <c r="K80" s="647"/>
      <c r="L80" s="647">
        <v>20</v>
      </c>
      <c r="M80" s="647">
        <v>40</v>
      </c>
      <c r="N80" s="698"/>
      <c r="O80" s="647"/>
      <c r="P80" s="647"/>
      <c r="Q80" s="647"/>
      <c r="R80" s="647"/>
      <c r="S80" s="647"/>
      <c r="T80" s="647"/>
      <c r="U80" s="647"/>
      <c r="V80" s="647"/>
      <c r="W80" s="647"/>
      <c r="X80" s="647"/>
      <c r="Y80" s="584"/>
      <c r="Z80" s="584"/>
      <c r="AA80" s="584"/>
      <c r="AB80" s="647"/>
      <c r="AC80" s="647"/>
      <c r="AD80" s="690">
        <f t="shared" si="14"/>
        <v>60</v>
      </c>
      <c r="AE80" s="588">
        <f t="shared" si="15"/>
        <v>12000</v>
      </c>
      <c r="AF80" s="538" t="str">
        <f t="shared" si="16"/>
        <v>sell</v>
      </c>
    </row>
    <row r="81" spans="1:32" s="360" customFormat="1" x14ac:dyDescent="0.2">
      <c r="A81" s="645" t="s">
        <v>67</v>
      </c>
      <c r="B81" s="582" t="s">
        <v>367</v>
      </c>
      <c r="C81" s="582" t="s">
        <v>280</v>
      </c>
      <c r="D81" s="583">
        <v>140</v>
      </c>
      <c r="E81" s="565"/>
      <c r="F81" s="692"/>
      <c r="G81" s="647"/>
      <c r="H81" s="647"/>
      <c r="I81" s="647"/>
      <c r="J81" s="647"/>
      <c r="K81" s="647"/>
      <c r="L81" s="647"/>
      <c r="M81" s="647"/>
      <c r="N81" s="698">
        <v>130</v>
      </c>
      <c r="O81" s="647">
        <v>80</v>
      </c>
      <c r="P81" s="647">
        <v>25</v>
      </c>
      <c r="Q81" s="647">
        <v>25</v>
      </c>
      <c r="R81" s="647">
        <v>35</v>
      </c>
      <c r="S81" s="647">
        <v>25</v>
      </c>
      <c r="T81" s="647">
        <v>25</v>
      </c>
      <c r="U81" s="647">
        <v>25</v>
      </c>
      <c r="V81" s="647"/>
      <c r="W81" s="647"/>
      <c r="X81" s="647"/>
      <c r="Y81" s="584"/>
      <c r="Z81" s="584"/>
      <c r="AA81" s="584"/>
      <c r="AB81" s="647"/>
      <c r="AC81" s="647"/>
      <c r="AD81" s="690">
        <f t="shared" si="14"/>
        <v>370</v>
      </c>
      <c r="AE81" s="588">
        <f t="shared" si="15"/>
        <v>51800</v>
      </c>
      <c r="AF81" s="538" t="str">
        <f t="shared" si="16"/>
        <v>sell</v>
      </c>
    </row>
    <row r="82" spans="1:32" s="360" customFormat="1" x14ac:dyDescent="0.2">
      <c r="A82" s="645" t="s">
        <v>67</v>
      </c>
      <c r="B82" s="582" t="s">
        <v>367</v>
      </c>
      <c r="C82" s="582" t="s">
        <v>280</v>
      </c>
      <c r="D82" s="583">
        <v>125</v>
      </c>
      <c r="E82" s="565"/>
      <c r="F82" s="692"/>
      <c r="G82" s="647"/>
      <c r="H82" s="647"/>
      <c r="I82" s="647"/>
      <c r="J82" s="647"/>
      <c r="K82" s="647"/>
      <c r="L82" s="647"/>
      <c r="M82" s="647"/>
      <c r="N82" s="698"/>
      <c r="O82" s="647"/>
      <c r="P82" s="647"/>
      <c r="Q82" s="647"/>
      <c r="R82" s="647"/>
      <c r="S82" s="647"/>
      <c r="T82" s="647"/>
      <c r="U82" s="647"/>
      <c r="V82" s="647">
        <v>25</v>
      </c>
      <c r="W82" s="647">
        <v>25</v>
      </c>
      <c r="X82" s="647">
        <v>45</v>
      </c>
      <c r="Y82" s="584">
        <v>45</v>
      </c>
      <c r="Z82" s="584"/>
      <c r="AA82" s="584"/>
      <c r="AB82" s="647"/>
      <c r="AC82" s="647"/>
      <c r="AD82" s="690">
        <f t="shared" si="14"/>
        <v>140</v>
      </c>
      <c r="AE82" s="588">
        <f t="shared" si="15"/>
        <v>17500</v>
      </c>
      <c r="AF82" s="538" t="str">
        <f t="shared" si="16"/>
        <v>sell</v>
      </c>
    </row>
    <row r="83" spans="1:32" s="360" customFormat="1" x14ac:dyDescent="0.2">
      <c r="A83" s="645" t="s">
        <v>67</v>
      </c>
      <c r="B83" s="582" t="s">
        <v>367</v>
      </c>
      <c r="C83" s="582" t="s">
        <v>280</v>
      </c>
      <c r="D83" s="583">
        <v>100</v>
      </c>
      <c r="E83" s="565"/>
      <c r="F83" s="692"/>
      <c r="G83" s="647"/>
      <c r="H83" s="647"/>
      <c r="I83" s="647"/>
      <c r="J83" s="647"/>
      <c r="K83" s="647"/>
      <c r="L83" s="647"/>
      <c r="M83" s="647"/>
      <c r="N83" s="698"/>
      <c r="O83" s="647"/>
      <c r="P83" s="647"/>
      <c r="Q83" s="647"/>
      <c r="R83" s="647"/>
      <c r="S83" s="647"/>
      <c r="T83" s="647"/>
      <c r="U83" s="647"/>
      <c r="V83" s="647"/>
      <c r="W83" s="647"/>
      <c r="X83" s="647"/>
      <c r="Y83" s="584"/>
      <c r="Z83" s="584">
        <v>60</v>
      </c>
      <c r="AA83" s="584"/>
      <c r="AB83" s="647"/>
      <c r="AC83" s="647"/>
      <c r="AD83" s="690">
        <f>SUM(E83:AC83)</f>
        <v>60</v>
      </c>
      <c r="AE83" s="588">
        <f>AD83*D83</f>
        <v>6000</v>
      </c>
      <c r="AF83" s="538" t="str">
        <f>IF(AD83&lt;0,"buy","sell")</f>
        <v>sell</v>
      </c>
    </row>
    <row r="84" spans="1:32" s="360" customFormat="1" x14ac:dyDescent="0.2">
      <c r="A84" s="645" t="s">
        <v>66</v>
      </c>
      <c r="B84" s="582" t="s">
        <v>367</v>
      </c>
      <c r="C84" s="582" t="s">
        <v>152</v>
      </c>
      <c r="D84" s="583">
        <v>100</v>
      </c>
      <c r="E84" s="565"/>
      <c r="F84" s="692"/>
      <c r="G84" s="647"/>
      <c r="H84" s="647"/>
      <c r="I84" s="647"/>
      <c r="J84" s="647"/>
      <c r="K84" s="647"/>
      <c r="L84" s="647"/>
      <c r="M84" s="647">
        <v>25</v>
      </c>
      <c r="N84" s="698"/>
      <c r="O84" s="647"/>
      <c r="P84" s="647"/>
      <c r="Q84" s="647"/>
      <c r="R84" s="647"/>
      <c r="S84" s="647"/>
      <c r="T84" s="647"/>
      <c r="U84" s="647"/>
      <c r="V84" s="647"/>
      <c r="W84" s="647"/>
      <c r="X84" s="647"/>
      <c r="Y84" s="584"/>
      <c r="Z84" s="584"/>
      <c r="AA84" s="584"/>
      <c r="AB84" s="647"/>
      <c r="AC84" s="647"/>
      <c r="AD84" s="690">
        <f t="shared" si="14"/>
        <v>25</v>
      </c>
      <c r="AE84" s="588">
        <f t="shared" si="15"/>
        <v>2500</v>
      </c>
      <c r="AF84" s="538" t="str">
        <f t="shared" si="16"/>
        <v>sell</v>
      </c>
    </row>
    <row r="85" spans="1:32" s="360" customFormat="1" x14ac:dyDescent="0.2">
      <c r="A85" s="645" t="s">
        <v>66</v>
      </c>
      <c r="B85" s="582" t="s">
        <v>367</v>
      </c>
      <c r="C85" s="582" t="s">
        <v>152</v>
      </c>
      <c r="D85" s="583">
        <v>120</v>
      </c>
      <c r="E85" s="565"/>
      <c r="F85" s="692"/>
      <c r="G85" s="647"/>
      <c r="H85" s="647"/>
      <c r="I85" s="647"/>
      <c r="J85" s="647"/>
      <c r="K85" s="647"/>
      <c r="L85" s="647"/>
      <c r="M85" s="647"/>
      <c r="N85" s="698"/>
      <c r="O85" s="647"/>
      <c r="P85" s="647"/>
      <c r="Q85" s="647"/>
      <c r="R85" s="647"/>
      <c r="S85" s="647"/>
      <c r="T85" s="647"/>
      <c r="U85" s="647"/>
      <c r="V85" s="647">
        <v>20</v>
      </c>
      <c r="W85" s="647"/>
      <c r="X85" s="647"/>
      <c r="Y85" s="584"/>
      <c r="Z85" s="584"/>
      <c r="AA85" s="584"/>
      <c r="AB85" s="647"/>
      <c r="AC85" s="647"/>
      <c r="AD85" s="690">
        <f t="shared" si="14"/>
        <v>20</v>
      </c>
      <c r="AE85" s="588">
        <f t="shared" si="15"/>
        <v>2400</v>
      </c>
      <c r="AF85" s="538" t="str">
        <f t="shared" si="16"/>
        <v>sell</v>
      </c>
    </row>
    <row r="86" spans="1:32" s="360" customFormat="1" x14ac:dyDescent="0.2">
      <c r="A86" s="645" t="s">
        <v>374</v>
      </c>
      <c r="B86" s="582" t="s">
        <v>367</v>
      </c>
      <c r="C86" s="582" t="s">
        <v>152</v>
      </c>
      <c r="D86" s="583">
        <v>60</v>
      </c>
      <c r="E86" s="565"/>
      <c r="F86" s="692"/>
      <c r="G86" s="647"/>
      <c r="H86" s="647"/>
      <c r="I86" s="647"/>
      <c r="J86" s="647"/>
      <c r="K86" s="647"/>
      <c r="L86" s="647"/>
      <c r="M86" s="647"/>
      <c r="N86" s="698"/>
      <c r="O86" s="647"/>
      <c r="P86" s="647"/>
      <c r="Q86" s="647"/>
      <c r="R86" s="647"/>
      <c r="S86" s="647"/>
      <c r="T86" s="647"/>
      <c r="U86" s="647"/>
      <c r="V86" s="647"/>
      <c r="W86" s="647"/>
      <c r="X86" s="647"/>
      <c r="Y86" s="584"/>
      <c r="Z86" s="584"/>
      <c r="AA86" s="584"/>
      <c r="AB86" s="647"/>
      <c r="AC86" s="647">
        <v>5</v>
      </c>
      <c r="AD86" s="690">
        <f>SUM(E86:AC86)</f>
        <v>5</v>
      </c>
      <c r="AE86" s="588">
        <f>AD86*D86</f>
        <v>300</v>
      </c>
      <c r="AF86" s="538" t="str">
        <f>IF(AD86&lt;0,"buy","sell")</f>
        <v>sell</v>
      </c>
    </row>
    <row r="87" spans="1:32" s="360" customFormat="1" x14ac:dyDescent="0.2">
      <c r="A87" s="645"/>
      <c r="B87" s="582"/>
      <c r="C87" s="582"/>
      <c r="D87" s="583"/>
      <c r="E87" s="565"/>
      <c r="F87" s="692"/>
      <c r="G87" s="647"/>
      <c r="H87" s="647"/>
      <c r="I87" s="647"/>
      <c r="J87" s="647"/>
      <c r="K87" s="647"/>
      <c r="L87" s="647"/>
      <c r="M87" s="647"/>
      <c r="N87" s="698"/>
      <c r="O87" s="647"/>
      <c r="P87" s="647"/>
      <c r="Q87" s="647"/>
      <c r="R87" s="647"/>
      <c r="S87" s="647"/>
      <c r="T87" s="647"/>
      <c r="U87" s="647"/>
      <c r="V87" s="647"/>
      <c r="W87" s="647"/>
      <c r="X87" s="647"/>
      <c r="Y87" s="584"/>
      <c r="Z87" s="584"/>
      <c r="AA87" s="584"/>
      <c r="AB87" s="647"/>
      <c r="AC87" s="647"/>
      <c r="AD87" s="690">
        <f t="shared" si="14"/>
        <v>0</v>
      </c>
      <c r="AE87" s="588">
        <f t="shared" ref="AE87:AE96" si="17">AD87*D87</f>
        <v>0</v>
      </c>
      <c r="AF87" s="538" t="str">
        <f t="shared" ref="AF87:AF96" si="18">IF(AD87&lt;0,"buy","sell")</f>
        <v>sell</v>
      </c>
    </row>
    <row r="88" spans="1:32" s="360" customFormat="1" ht="12" customHeight="1" x14ac:dyDescent="0.2">
      <c r="A88" s="680"/>
      <c r="B88" s="681"/>
      <c r="C88" s="681"/>
      <c r="D88" s="682"/>
      <c r="E88" s="686"/>
      <c r="F88" s="687"/>
      <c r="G88" s="686"/>
      <c r="H88" s="687"/>
      <c r="I88" s="687"/>
      <c r="J88" s="687"/>
      <c r="K88" s="687"/>
      <c r="L88" s="687"/>
      <c r="M88" s="687"/>
      <c r="N88" s="687"/>
      <c r="O88" s="687"/>
      <c r="P88" s="687"/>
      <c r="Q88" s="687"/>
      <c r="R88" s="687"/>
      <c r="S88" s="687"/>
      <c r="T88" s="687"/>
      <c r="U88" s="687"/>
      <c r="V88" s="687"/>
      <c r="W88" s="687"/>
      <c r="X88" s="687"/>
      <c r="Y88" s="687"/>
      <c r="Z88" s="687"/>
      <c r="AA88" s="687"/>
      <c r="AB88" s="687"/>
      <c r="AC88" s="687"/>
      <c r="AD88" s="599">
        <f t="shared" si="6"/>
        <v>0</v>
      </c>
      <c r="AE88" s="588">
        <f t="shared" si="17"/>
        <v>0</v>
      </c>
      <c r="AF88" s="538" t="str">
        <f t="shared" si="18"/>
        <v>sell</v>
      </c>
    </row>
    <row r="89" spans="1:32" s="360" customFormat="1" ht="12.75" customHeight="1" x14ac:dyDescent="0.2">
      <c r="A89" s="680"/>
      <c r="B89" s="681"/>
      <c r="C89" s="681"/>
      <c r="D89" s="682"/>
      <c r="E89" s="686"/>
      <c r="F89" s="688"/>
      <c r="G89" s="689"/>
      <c r="H89" s="687"/>
      <c r="I89" s="687"/>
      <c r="J89" s="687"/>
      <c r="K89" s="687"/>
      <c r="L89" s="687"/>
      <c r="M89" s="687"/>
      <c r="N89" s="687"/>
      <c r="O89" s="687"/>
      <c r="P89" s="687"/>
      <c r="Q89" s="687"/>
      <c r="R89" s="687"/>
      <c r="S89" s="687"/>
      <c r="T89" s="687"/>
      <c r="U89" s="687"/>
      <c r="V89" s="688"/>
      <c r="W89" s="688"/>
      <c r="X89" s="688"/>
      <c r="Y89" s="688"/>
      <c r="Z89" s="688"/>
      <c r="AA89" s="688"/>
      <c r="AB89" s="688"/>
      <c r="AC89" s="688"/>
      <c r="AD89" s="690">
        <f t="shared" si="6"/>
        <v>0</v>
      </c>
      <c r="AE89" s="588">
        <f t="shared" si="17"/>
        <v>0</v>
      </c>
      <c r="AF89" s="538" t="str">
        <f t="shared" si="18"/>
        <v>sell</v>
      </c>
    </row>
    <row r="90" spans="1:32" s="360" customFormat="1" x14ac:dyDescent="0.2">
      <c r="A90" s="645"/>
      <c r="B90" s="582"/>
      <c r="C90" s="582"/>
      <c r="D90" s="583"/>
      <c r="E90" s="565"/>
      <c r="F90" s="628"/>
      <c r="G90" s="584"/>
      <c r="H90" s="584"/>
      <c r="I90" s="584"/>
      <c r="J90" s="584"/>
      <c r="K90" s="584"/>
      <c r="L90" s="584"/>
      <c r="M90" s="584"/>
      <c r="N90" s="584"/>
      <c r="O90" s="584"/>
      <c r="P90" s="584"/>
      <c r="Q90" s="584"/>
      <c r="R90" s="584"/>
      <c r="S90" s="584"/>
      <c r="T90" s="584"/>
      <c r="U90" s="584"/>
      <c r="V90" s="584"/>
      <c r="W90" s="584"/>
      <c r="X90" s="584"/>
      <c r="Y90" s="584"/>
      <c r="Z90" s="584"/>
      <c r="AA90" s="584"/>
      <c r="AB90" s="584"/>
      <c r="AC90" s="584"/>
      <c r="AD90" s="690">
        <f>SUM(F90:AC90)</f>
        <v>0</v>
      </c>
      <c r="AE90" s="588">
        <f t="shared" si="17"/>
        <v>0</v>
      </c>
      <c r="AF90" s="538" t="str">
        <f t="shared" si="18"/>
        <v>sell</v>
      </c>
    </row>
    <row r="91" spans="1:32" s="360" customFormat="1" x14ac:dyDescent="0.2">
      <c r="A91" s="645" t="s">
        <v>374</v>
      </c>
      <c r="B91" s="582" t="s">
        <v>373</v>
      </c>
      <c r="C91" s="582" t="s">
        <v>152</v>
      </c>
      <c r="D91" s="583">
        <v>10</v>
      </c>
      <c r="E91" s="565"/>
      <c r="F91" s="628"/>
      <c r="G91" s="584"/>
      <c r="H91" s="584">
        <v>-1</v>
      </c>
      <c r="I91" s="584">
        <v>-2</v>
      </c>
      <c r="J91" s="584"/>
      <c r="K91" s="584"/>
      <c r="L91" s="584"/>
      <c r="M91" s="584"/>
      <c r="N91" s="584"/>
      <c r="O91" s="584"/>
      <c r="P91" s="584"/>
      <c r="Q91" s="584"/>
      <c r="R91" s="584"/>
      <c r="S91" s="584"/>
      <c r="T91" s="584"/>
      <c r="U91" s="584"/>
      <c r="V91" s="584"/>
      <c r="W91" s="584"/>
      <c r="X91" s="584"/>
      <c r="Y91" s="584"/>
      <c r="Z91" s="584"/>
      <c r="AA91" s="584"/>
      <c r="AB91" s="584"/>
      <c r="AC91" s="584"/>
      <c r="AD91" s="690">
        <f>SUM(E91:AC91)</f>
        <v>-3</v>
      </c>
      <c r="AE91" s="588">
        <f>AD91*D91</f>
        <v>-30</v>
      </c>
      <c r="AF91" s="538" t="str">
        <f>IF(AD91&lt;0,"buy","sell")</f>
        <v>buy</v>
      </c>
    </row>
    <row r="92" spans="1:32" s="360" customFormat="1" x14ac:dyDescent="0.2">
      <c r="A92" s="645"/>
      <c r="B92" s="582"/>
      <c r="C92" s="582"/>
      <c r="D92" s="583"/>
      <c r="E92" s="565"/>
      <c r="F92" s="628"/>
      <c r="G92" s="584"/>
      <c r="H92" s="584"/>
      <c r="I92" s="584"/>
      <c r="J92" s="584"/>
      <c r="K92" s="584"/>
      <c r="L92" s="584"/>
      <c r="M92" s="584"/>
      <c r="N92" s="584"/>
      <c r="O92" s="584"/>
      <c r="P92" s="584"/>
      <c r="Q92" s="584"/>
      <c r="R92" s="584"/>
      <c r="S92" s="584"/>
      <c r="T92" s="584"/>
      <c r="U92" s="584"/>
      <c r="V92" s="584"/>
      <c r="W92" s="584"/>
      <c r="X92" s="584"/>
      <c r="Y92" s="584"/>
      <c r="Z92" s="584"/>
      <c r="AA92" s="584"/>
      <c r="AB92" s="584"/>
      <c r="AC92" s="584"/>
      <c r="AD92" s="690">
        <f>SUM(F92:AC92)</f>
        <v>0</v>
      </c>
      <c r="AE92" s="588">
        <f>AD92*D92</f>
        <v>0</v>
      </c>
      <c r="AF92" s="538" t="str">
        <f>IF(AD92&lt;0,"buy","sell")</f>
        <v>sell</v>
      </c>
    </row>
    <row r="93" spans="1:32" s="360" customFormat="1" x14ac:dyDescent="0.2">
      <c r="A93" s="669"/>
      <c r="B93" s="670"/>
      <c r="C93" s="670"/>
      <c r="D93" s="556"/>
      <c r="E93" s="556"/>
      <c r="F93" s="557"/>
      <c r="G93" s="557"/>
      <c r="H93" s="557"/>
      <c r="I93" s="557"/>
      <c r="J93" s="557"/>
      <c r="K93" s="557"/>
      <c r="L93" s="557"/>
      <c r="M93" s="557"/>
      <c r="N93" s="557"/>
      <c r="O93" s="557"/>
      <c r="P93" s="557"/>
      <c r="Q93" s="557"/>
      <c r="R93" s="557"/>
      <c r="S93" s="557"/>
      <c r="T93" s="557"/>
      <c r="U93" s="557"/>
      <c r="V93" s="557"/>
      <c r="W93" s="557"/>
      <c r="X93" s="557"/>
      <c r="Y93" s="557"/>
      <c r="Z93" s="557"/>
      <c r="AA93" s="557"/>
      <c r="AB93" s="557"/>
      <c r="AC93" s="559"/>
      <c r="AD93" s="690"/>
      <c r="AE93" s="588"/>
      <c r="AF93" s="538"/>
    </row>
    <row r="94" spans="1:32" s="360" customFormat="1" x14ac:dyDescent="0.2">
      <c r="A94" s="669" t="s">
        <v>67</v>
      </c>
      <c r="B94" s="670" t="s">
        <v>373</v>
      </c>
      <c r="C94" s="670" t="s">
        <v>280</v>
      </c>
      <c r="D94" s="556">
        <v>10</v>
      </c>
      <c r="E94" s="556"/>
      <c r="F94" s="558"/>
      <c r="G94" s="558"/>
      <c r="H94" s="557"/>
      <c r="I94" s="557"/>
      <c r="J94" s="557"/>
      <c r="K94" s="557"/>
      <c r="L94" s="557"/>
      <c r="M94" s="557"/>
      <c r="N94" s="557"/>
      <c r="O94" s="557"/>
      <c r="P94" s="557"/>
      <c r="Q94" s="557">
        <v>-15</v>
      </c>
      <c r="R94" s="557">
        <v>-15</v>
      </c>
      <c r="S94" s="557">
        <v>-15</v>
      </c>
      <c r="T94" s="557">
        <v>-15</v>
      </c>
      <c r="U94" s="558">
        <v>-15</v>
      </c>
      <c r="V94" s="557">
        <v>-15</v>
      </c>
      <c r="W94" s="557">
        <v>-15</v>
      </c>
      <c r="X94" s="557">
        <v>-15</v>
      </c>
      <c r="Y94" s="557">
        <v>-15</v>
      </c>
      <c r="Z94" s="557"/>
      <c r="AA94" s="557"/>
      <c r="AB94" s="557"/>
      <c r="AC94" s="559"/>
      <c r="AD94" s="690">
        <f>SUM(E94:AC94)</f>
        <v>-135</v>
      </c>
      <c r="AE94" s="588">
        <f>AD94*D94</f>
        <v>-1350</v>
      </c>
      <c r="AF94" s="538" t="str">
        <f>IF(AD94&lt;0,"buy","sell")</f>
        <v>buy</v>
      </c>
    </row>
    <row r="95" spans="1:32" s="360" customFormat="1" x14ac:dyDescent="0.2">
      <c r="A95" s="669"/>
      <c r="B95" s="670"/>
      <c r="C95" s="670"/>
      <c r="D95" s="556"/>
      <c r="E95" s="556"/>
      <c r="F95" s="558"/>
      <c r="G95" s="558"/>
      <c r="H95" s="557"/>
      <c r="I95" s="557"/>
      <c r="J95" s="557"/>
      <c r="K95" s="557"/>
      <c r="L95" s="557"/>
      <c r="M95" s="557"/>
      <c r="N95" s="557"/>
      <c r="O95" s="557"/>
      <c r="P95" s="557"/>
      <c r="Q95" s="557"/>
      <c r="R95" s="557"/>
      <c r="S95" s="557"/>
      <c r="T95" s="557"/>
      <c r="U95" s="558"/>
      <c r="V95" s="557"/>
      <c r="W95" s="557"/>
      <c r="X95" s="557"/>
      <c r="Y95" s="557"/>
      <c r="Z95" s="557"/>
      <c r="AA95" s="557"/>
      <c r="AB95" s="557"/>
      <c r="AC95" s="559"/>
      <c r="AD95" s="690"/>
      <c r="AE95" s="588"/>
      <c r="AF95" s="538"/>
    </row>
    <row r="96" spans="1:32" s="360" customFormat="1" x14ac:dyDescent="0.2">
      <c r="A96" s="555"/>
      <c r="B96" s="564"/>
      <c r="C96" s="564"/>
      <c r="D96" s="556"/>
      <c r="E96" s="646"/>
      <c r="F96" s="558"/>
      <c r="G96" s="558"/>
      <c r="H96" s="557"/>
      <c r="I96" s="557"/>
      <c r="J96" s="557"/>
      <c r="K96" s="557"/>
      <c r="L96" s="557"/>
      <c r="M96" s="557"/>
      <c r="N96" s="557"/>
      <c r="O96" s="557"/>
      <c r="P96" s="557"/>
      <c r="Q96" s="557"/>
      <c r="R96" s="557"/>
      <c r="S96" s="557"/>
      <c r="T96" s="557"/>
      <c r="U96" s="560"/>
      <c r="V96" s="557"/>
      <c r="W96" s="557"/>
      <c r="X96" s="557"/>
      <c r="Y96" s="557"/>
      <c r="Z96" s="557"/>
      <c r="AA96" s="557"/>
      <c r="AB96" s="557"/>
      <c r="AC96" s="559"/>
      <c r="AD96" s="690">
        <f>SUM(E96:AC96)</f>
        <v>0</v>
      </c>
      <c r="AE96" s="588">
        <f t="shared" si="17"/>
        <v>0</v>
      </c>
      <c r="AF96" s="538" t="str">
        <f t="shared" si="18"/>
        <v>sell</v>
      </c>
    </row>
    <row r="97" spans="1:33" s="360" customFormat="1" x14ac:dyDescent="0.2">
      <c r="A97" s="562" t="s">
        <v>207</v>
      </c>
      <c r="B97" s="495"/>
      <c r="C97" s="495"/>
      <c r="D97" s="495"/>
      <c r="E97" s="495"/>
      <c r="F97" s="631"/>
      <c r="G97" s="495"/>
      <c r="H97" s="495"/>
      <c r="I97" s="495"/>
      <c r="J97" s="495"/>
      <c r="K97" s="495"/>
      <c r="L97" s="495"/>
      <c r="M97" s="495"/>
      <c r="N97" s="495"/>
      <c r="O97" s="495"/>
      <c r="P97" s="495"/>
      <c r="Q97" s="495"/>
      <c r="R97" s="495"/>
      <c r="S97" s="495"/>
      <c r="T97" s="495"/>
      <c r="U97" s="495"/>
      <c r="V97" s="495"/>
      <c r="W97" s="495"/>
      <c r="X97" s="495"/>
      <c r="Y97" s="495"/>
      <c r="Z97" s="495"/>
      <c r="AA97" s="495"/>
      <c r="AB97" s="495"/>
      <c r="AC97" s="495"/>
      <c r="AD97" s="495"/>
      <c r="AE97" s="495"/>
      <c r="AF97" s="495"/>
    </row>
    <row r="98" spans="1:33" x14ac:dyDescent="0.2">
      <c r="A98" s="360"/>
      <c r="B98" s="371"/>
      <c r="C98" s="371"/>
      <c r="D98" s="372"/>
      <c r="E98" s="372"/>
      <c r="F98" s="444"/>
      <c r="G98" s="373"/>
      <c r="H98" s="373"/>
      <c r="I98" s="373"/>
      <c r="J98" s="373"/>
      <c r="K98" s="373"/>
      <c r="L98" s="373"/>
      <c r="M98" s="373"/>
      <c r="N98" s="373"/>
      <c r="O98" s="373"/>
      <c r="P98" s="373"/>
      <c r="Q98" s="373"/>
      <c r="R98" s="373"/>
      <c r="S98" s="373"/>
      <c r="T98" s="373"/>
      <c r="U98" s="373"/>
      <c r="V98" s="373"/>
      <c r="W98" s="373"/>
      <c r="X98" s="373"/>
      <c r="Y98" s="373"/>
      <c r="Z98" s="455"/>
      <c r="AA98" s="455"/>
      <c r="AB98" s="455"/>
      <c r="AC98" s="541"/>
      <c r="AD98" s="473"/>
      <c r="AE98" s="474"/>
      <c r="AF98" s="455"/>
      <c r="AG98" s="360"/>
    </row>
    <row r="99" spans="1:33" s="360" customFormat="1" ht="18" x14ac:dyDescent="0.25">
      <c r="A99" s="441" t="s">
        <v>242</v>
      </c>
      <c r="B99" s="442"/>
      <c r="C99" s="549"/>
      <c r="D99" s="443"/>
      <c r="E99" s="443"/>
      <c r="F99" s="445"/>
      <c r="G99" s="445"/>
      <c r="H99" s="377"/>
      <c r="I99" s="377"/>
      <c r="J99" s="377"/>
      <c r="K99" s="378"/>
      <c r="L99" s="377"/>
      <c r="M99" s="377"/>
      <c r="N99" s="377"/>
      <c r="O99" s="377"/>
      <c r="P99" s="377"/>
      <c r="Q99" s="377"/>
      <c r="R99" s="377"/>
      <c r="S99" s="377" t="s">
        <v>15</v>
      </c>
      <c r="T99" s="377"/>
      <c r="U99" s="377"/>
      <c r="V99" s="377"/>
      <c r="W99" s="377"/>
      <c r="X99" s="377"/>
      <c r="Y99" s="377"/>
      <c r="Z99" s="379"/>
      <c r="AA99" s="379"/>
      <c r="AB99" s="379"/>
      <c r="AC99" s="542"/>
      <c r="AD99" s="473"/>
      <c r="AE99" s="474"/>
      <c r="AF99" s="379"/>
    </row>
    <row r="100" spans="1:33" s="360" customFormat="1" ht="18.75" thickBot="1" x14ac:dyDescent="0.3">
      <c r="A100" s="446"/>
      <c r="B100" s="447"/>
      <c r="C100" s="447"/>
      <c r="D100" s="443"/>
      <c r="E100" s="443"/>
      <c r="F100" s="629" t="s">
        <v>272</v>
      </c>
      <c r="G100" s="445"/>
      <c r="H100" s="377"/>
      <c r="I100" s="377"/>
      <c r="J100" s="377"/>
      <c r="K100" s="380"/>
      <c r="L100" s="380"/>
      <c r="M100" s="377"/>
      <c r="N100" s="377"/>
      <c r="O100" s="377"/>
      <c r="P100" s="377"/>
      <c r="Q100" s="377"/>
      <c r="R100" s="377"/>
      <c r="S100" s="377"/>
      <c r="T100" s="377"/>
      <c r="U100" s="377"/>
      <c r="V100" s="377"/>
      <c r="W100" s="377"/>
      <c r="X100" s="377"/>
      <c r="Y100" s="377"/>
      <c r="Z100" s="379"/>
      <c r="AA100" s="379"/>
      <c r="AB100" s="379"/>
      <c r="AC100" s="542"/>
      <c r="AD100" s="473"/>
      <c r="AE100" s="474"/>
      <c r="AF100" s="379"/>
    </row>
    <row r="101" spans="1:33" s="360" customFormat="1" ht="18.75" thickBot="1" x14ac:dyDescent="0.3">
      <c r="A101" s="448" t="s">
        <v>7</v>
      </c>
      <c r="B101" s="449"/>
      <c r="C101" s="449" t="s">
        <v>266</v>
      </c>
      <c r="D101" s="450" t="s">
        <v>9</v>
      </c>
      <c r="E101" s="449"/>
      <c r="F101" s="630" t="s">
        <v>320</v>
      </c>
      <c r="G101" s="452"/>
      <c r="H101" s="377"/>
      <c r="I101" s="377"/>
      <c r="J101" s="377"/>
      <c r="K101" s="380"/>
      <c r="L101" s="378"/>
      <c r="M101" s="377"/>
      <c r="N101" s="377"/>
      <c r="O101" s="377"/>
      <c r="P101" s="377"/>
      <c r="Q101" s="377"/>
      <c r="R101" s="377"/>
      <c r="S101" s="377"/>
      <c r="T101" s="377"/>
      <c r="U101" s="377"/>
      <c r="V101" s="377"/>
      <c r="W101" s="377"/>
      <c r="X101" s="377"/>
      <c r="Y101" s="377"/>
      <c r="AA101" s="379"/>
      <c r="AB101" s="379"/>
      <c r="AC101" s="542"/>
      <c r="AD101" s="473"/>
      <c r="AE101" s="474"/>
      <c r="AF101" s="379"/>
    </row>
    <row r="102" spans="1:33" s="360" customFormat="1" ht="18" x14ac:dyDescent="0.25">
      <c r="A102" s="453" t="s">
        <v>244</v>
      </c>
      <c r="B102" s="454" t="s">
        <v>245</v>
      </c>
      <c r="C102" s="454"/>
      <c r="D102" s="586"/>
      <c r="E102" s="454"/>
      <c r="F102" s="596">
        <f>D103-0.25</f>
        <v>-0.25</v>
      </c>
      <c r="G102" s="445" t="s">
        <v>321</v>
      </c>
      <c r="H102" s="377"/>
      <c r="I102" s="377"/>
      <c r="J102" s="377"/>
      <c r="K102" s="380"/>
      <c r="L102" s="378"/>
      <c r="M102" s="377"/>
      <c r="N102" s="377"/>
      <c r="O102" s="377"/>
      <c r="P102" s="377"/>
      <c r="Q102" s="377"/>
      <c r="R102" s="377"/>
      <c r="S102" s="377"/>
      <c r="T102" s="377"/>
      <c r="U102" s="377"/>
      <c r="V102" s="377"/>
      <c r="W102" s="377"/>
      <c r="X102" s="377"/>
      <c r="Y102" s="377"/>
      <c r="Z102" s="379" t="s">
        <v>208</v>
      </c>
      <c r="AA102" s="379"/>
      <c r="AB102" s="379"/>
      <c r="AC102" s="543"/>
      <c r="AD102" s="469"/>
      <c r="AE102" s="470"/>
      <c r="AF102" s="379"/>
    </row>
    <row r="103" spans="1:33" s="360" customFormat="1" x14ac:dyDescent="0.2">
      <c r="A103" s="447">
        <v>24</v>
      </c>
      <c r="B103" s="447">
        <v>1</v>
      </c>
      <c r="C103" s="455">
        <v>1</v>
      </c>
      <c r="D103" s="589"/>
      <c r="E103" s="540"/>
      <c r="F103" s="596">
        <f t="shared" ref="F103:F126" si="19">D104-0.25</f>
        <v>-0.25</v>
      </c>
      <c r="G103" s="563">
        <f>D103+0.56</f>
        <v>0.56000000000000005</v>
      </c>
      <c r="H103" s="377"/>
      <c r="I103" s="377"/>
      <c r="J103" s="377"/>
      <c r="K103" s="380"/>
      <c r="L103" s="377"/>
      <c r="M103" s="377"/>
      <c r="N103" s="377"/>
      <c r="O103" s="377"/>
      <c r="P103" s="377"/>
      <c r="Q103" s="377"/>
      <c r="R103" s="377"/>
      <c r="S103" s="377"/>
      <c r="T103" s="377"/>
      <c r="U103" s="377"/>
      <c r="V103" s="377"/>
      <c r="W103" s="377"/>
      <c r="X103" s="377"/>
      <c r="Y103" s="377"/>
      <c r="Z103" s="379"/>
      <c r="AA103" s="544"/>
      <c r="AB103" s="544"/>
      <c r="AC103" s="543"/>
      <c r="AD103" s="410"/>
      <c r="AE103" s="410"/>
      <c r="AF103" s="544"/>
    </row>
    <row r="104" spans="1:33" s="360" customFormat="1" x14ac:dyDescent="0.2">
      <c r="A104" s="445">
        <v>1</v>
      </c>
      <c r="B104" s="445">
        <v>2</v>
      </c>
      <c r="C104" s="455">
        <v>1</v>
      </c>
      <c r="D104" s="589"/>
      <c r="E104" s="499"/>
      <c r="F104" s="596">
        <f t="shared" si="19"/>
        <v>-0.25</v>
      </c>
      <c r="G104" s="563">
        <f t="shared" ref="G104:G127" si="20">D104+0.56</f>
        <v>0.56000000000000005</v>
      </c>
      <c r="H104" s="377"/>
      <c r="I104" s="377"/>
      <c r="J104" s="377"/>
      <c r="K104" s="380"/>
      <c r="L104" s="377"/>
      <c r="M104" s="377"/>
      <c r="N104" s="377"/>
      <c r="O104" s="377"/>
      <c r="P104" s="377"/>
      <c r="Q104" s="377"/>
      <c r="R104" s="377"/>
      <c r="S104" s="377"/>
      <c r="T104" s="377"/>
      <c r="U104" s="377"/>
      <c r="V104" s="377"/>
      <c r="W104" s="377"/>
      <c r="X104" s="377"/>
      <c r="Y104" s="377"/>
      <c r="Z104" s="544" t="s">
        <v>267</v>
      </c>
      <c r="AA104" s="544"/>
      <c r="AB104" s="544"/>
      <c r="AC104" s="543"/>
      <c r="AD104" s="490">
        <f>SUM(AD18:AD88)</f>
        <v>920</v>
      </c>
      <c r="AE104" s="490">
        <f>SUM(AE18:AE88)</f>
        <v>104900</v>
      </c>
      <c r="AF104" s="544"/>
    </row>
    <row r="105" spans="1:33" s="360" customFormat="1" x14ac:dyDescent="0.2">
      <c r="A105" s="447">
        <v>2</v>
      </c>
      <c r="B105" s="447">
        <v>3</v>
      </c>
      <c r="C105" s="455">
        <v>1</v>
      </c>
      <c r="D105" s="589"/>
      <c r="E105" s="499"/>
      <c r="F105" s="596">
        <f t="shared" si="19"/>
        <v>-0.25</v>
      </c>
      <c r="G105" s="563">
        <f t="shared" si="20"/>
        <v>0.56000000000000005</v>
      </c>
      <c r="H105" s="377"/>
      <c r="I105" s="377"/>
      <c r="J105" s="377"/>
      <c r="K105" s="380"/>
      <c r="L105" s="377"/>
      <c r="M105" s="377"/>
      <c r="N105" s="377"/>
      <c r="O105" s="377"/>
      <c r="P105" s="377"/>
      <c r="Q105" s="377"/>
      <c r="R105" s="377"/>
      <c r="S105" s="377"/>
      <c r="T105" s="377"/>
      <c r="U105" s="377"/>
      <c r="V105" s="377"/>
      <c r="W105" s="377"/>
      <c r="X105" s="377"/>
      <c r="Y105" s="377"/>
      <c r="Z105" s="544" t="s">
        <v>268</v>
      </c>
      <c r="AA105" s="544"/>
      <c r="AB105" s="544"/>
      <c r="AC105" s="545"/>
      <c r="AD105" s="477">
        <f>SUM(AD88:AD93)</f>
        <v>-3</v>
      </c>
      <c r="AE105" s="477">
        <f>SUM(AE88:AE93)</f>
        <v>-30</v>
      </c>
      <c r="AF105" s="544"/>
    </row>
    <row r="106" spans="1:33" s="360" customFormat="1" x14ac:dyDescent="0.2">
      <c r="A106" s="445">
        <v>3</v>
      </c>
      <c r="B106" s="445">
        <v>4</v>
      </c>
      <c r="C106" s="455">
        <v>1</v>
      </c>
      <c r="D106" s="589"/>
      <c r="E106" s="499"/>
      <c r="F106" s="596">
        <f t="shared" si="19"/>
        <v>-0.25</v>
      </c>
      <c r="G106" s="563">
        <f t="shared" si="20"/>
        <v>0.56000000000000005</v>
      </c>
      <c r="H106" s="384"/>
      <c r="I106" s="384"/>
      <c r="J106" s="384"/>
      <c r="K106" s="385"/>
      <c r="L106" s="384"/>
      <c r="M106" s="377"/>
      <c r="N106" s="377"/>
      <c r="O106" s="384"/>
      <c r="P106" s="384"/>
      <c r="Q106" s="384"/>
      <c r="R106" s="384"/>
      <c r="S106" s="384"/>
      <c r="T106" s="384"/>
      <c r="U106" s="384"/>
      <c r="V106" s="384"/>
      <c r="W106" s="384"/>
      <c r="X106" s="384"/>
      <c r="Y106" s="384"/>
      <c r="Z106" s="391"/>
      <c r="AA106" s="391"/>
      <c r="AB106" s="391"/>
      <c r="AC106" s="483"/>
      <c r="AF106" s="391"/>
    </row>
    <row r="107" spans="1:33" s="410" customFormat="1" x14ac:dyDescent="0.2">
      <c r="A107" s="447">
        <v>4</v>
      </c>
      <c r="B107" s="447">
        <v>5</v>
      </c>
      <c r="C107" s="455">
        <v>1</v>
      </c>
      <c r="D107" s="589"/>
      <c r="E107" s="499"/>
      <c r="F107" s="596">
        <f t="shared" si="19"/>
        <v>-0.25</v>
      </c>
      <c r="G107" s="563">
        <f t="shared" si="20"/>
        <v>0.56000000000000005</v>
      </c>
      <c r="H107" s="384"/>
      <c r="I107" s="360"/>
      <c r="J107" s="360"/>
      <c r="K107" s="360"/>
      <c r="L107" s="360"/>
      <c r="M107" s="360"/>
      <c r="N107" s="360"/>
      <c r="O107" s="377"/>
      <c r="P107" s="377"/>
      <c r="Q107" s="388"/>
      <c r="R107" s="388"/>
      <c r="S107" s="388"/>
      <c r="T107" s="388"/>
      <c r="U107" s="388"/>
      <c r="V107" s="388"/>
      <c r="W107" s="388"/>
      <c r="X107" s="388"/>
      <c r="Y107" s="388"/>
      <c r="Z107" s="675" t="s">
        <v>281</v>
      </c>
      <c r="AA107" s="675"/>
      <c r="AB107" s="675"/>
      <c r="AC107" s="676"/>
      <c r="AD107" s="677"/>
      <c r="AE107" s="678"/>
      <c r="AG107" s="360"/>
    </row>
    <row r="108" spans="1:33" s="410" customFormat="1" x14ac:dyDescent="0.2">
      <c r="A108" s="445">
        <v>5</v>
      </c>
      <c r="B108" s="445">
        <v>6</v>
      </c>
      <c r="C108" s="455">
        <v>1</v>
      </c>
      <c r="D108" s="589"/>
      <c r="E108" s="499"/>
      <c r="F108" s="596">
        <f t="shared" si="19"/>
        <v>-0.25</v>
      </c>
      <c r="G108" s="563">
        <f t="shared" si="20"/>
        <v>0.56000000000000005</v>
      </c>
      <c r="H108" s="377"/>
      <c r="I108" s="360"/>
      <c r="J108" s="360"/>
      <c r="K108" s="360"/>
      <c r="L108" s="360"/>
      <c r="M108" s="360"/>
      <c r="N108" s="360"/>
      <c r="O108" s="377"/>
      <c r="P108" s="377"/>
      <c r="Q108" s="377"/>
      <c r="R108" s="377"/>
      <c r="S108" s="377"/>
      <c r="T108" s="377"/>
      <c r="U108" s="377"/>
      <c r="V108" s="377"/>
      <c r="W108" s="377"/>
      <c r="X108" s="377"/>
      <c r="Y108" s="377"/>
      <c r="Z108" s="675"/>
      <c r="AA108" s="675"/>
      <c r="AB108" s="675"/>
      <c r="AC108" s="676"/>
      <c r="AD108" s="677"/>
      <c r="AE108" s="678"/>
      <c r="AG108" s="377"/>
    </row>
    <row r="109" spans="1:33" s="410" customFormat="1" x14ac:dyDescent="0.2">
      <c r="A109" s="447">
        <v>6</v>
      </c>
      <c r="B109" s="447">
        <v>7</v>
      </c>
      <c r="C109" s="455">
        <v>1</v>
      </c>
      <c r="D109" s="589"/>
      <c r="E109" s="499"/>
      <c r="F109" s="596">
        <f t="shared" si="19"/>
        <v>-0.25</v>
      </c>
      <c r="G109" s="563">
        <f t="shared" si="20"/>
        <v>0.56000000000000005</v>
      </c>
      <c r="H109" s="389"/>
      <c r="I109" s="360"/>
      <c r="J109" s="360"/>
      <c r="K109" s="360"/>
      <c r="L109" s="360"/>
      <c r="M109" s="360"/>
      <c r="N109" s="360"/>
      <c r="O109" s="377"/>
      <c r="P109" s="377"/>
      <c r="Q109" s="389"/>
      <c r="R109" s="389"/>
      <c r="S109" s="389"/>
      <c r="T109" s="389"/>
      <c r="U109" s="389"/>
      <c r="V109" s="389"/>
      <c r="W109" s="389"/>
      <c r="X109" s="389"/>
      <c r="Y109" s="389"/>
      <c r="Z109" s="675" t="s">
        <v>268</v>
      </c>
      <c r="AA109" s="675"/>
      <c r="AB109" s="675"/>
      <c r="AC109" s="676"/>
      <c r="AD109" s="679">
        <f>SUM(AD93:AD96)</f>
        <v>-135</v>
      </c>
      <c r="AE109" s="679">
        <f>SUM(AE93:AE96)</f>
        <v>-1350</v>
      </c>
      <c r="AG109" s="360"/>
    </row>
    <row r="110" spans="1:33" s="410" customFormat="1" x14ac:dyDescent="0.2">
      <c r="A110" s="445">
        <v>7</v>
      </c>
      <c r="B110" s="445">
        <v>8</v>
      </c>
      <c r="C110" s="455">
        <v>1</v>
      </c>
      <c r="D110" s="589"/>
      <c r="E110" s="499"/>
      <c r="F110" s="596">
        <f t="shared" si="19"/>
        <v>-0.25</v>
      </c>
      <c r="G110" s="563">
        <f t="shared" si="20"/>
        <v>0.56000000000000005</v>
      </c>
      <c r="H110" s="389"/>
      <c r="I110" s="360"/>
      <c r="J110" s="360"/>
      <c r="K110" s="360"/>
      <c r="L110" s="360"/>
      <c r="M110" s="360"/>
      <c r="N110" s="360"/>
      <c r="O110" s="377"/>
      <c r="P110" s="377"/>
      <c r="Q110" s="389"/>
      <c r="R110" s="389"/>
      <c r="S110" s="389"/>
      <c r="T110" s="389"/>
      <c r="U110" s="389"/>
      <c r="V110" s="389"/>
      <c r="W110" s="389"/>
      <c r="X110" s="389"/>
      <c r="Y110" s="389"/>
      <c r="AC110" s="484"/>
      <c r="AG110" s="360"/>
    </row>
    <row r="111" spans="1:33" s="410" customFormat="1" x14ac:dyDescent="0.2">
      <c r="A111" s="447">
        <v>8</v>
      </c>
      <c r="B111" s="447">
        <v>9</v>
      </c>
      <c r="C111" s="455">
        <v>1</v>
      </c>
      <c r="D111" s="589"/>
      <c r="E111" s="499"/>
      <c r="F111" s="596">
        <f t="shared" si="19"/>
        <v>-0.25</v>
      </c>
      <c r="G111" s="563">
        <f t="shared" si="20"/>
        <v>0.56000000000000005</v>
      </c>
      <c r="H111" s="377"/>
      <c r="I111" s="360"/>
      <c r="J111" s="360"/>
      <c r="K111" s="360"/>
      <c r="L111" s="360"/>
      <c r="M111" s="360"/>
      <c r="N111" s="360"/>
      <c r="O111" s="377"/>
      <c r="P111" s="377"/>
      <c r="Q111" s="377"/>
      <c r="R111" s="377"/>
      <c r="S111" s="377"/>
      <c r="T111" s="377"/>
      <c r="U111" s="377"/>
      <c r="V111" s="377"/>
      <c r="W111" s="377"/>
      <c r="X111" s="377"/>
      <c r="Y111" s="377"/>
      <c r="AC111" s="484"/>
      <c r="AG111" s="360"/>
    </row>
    <row r="112" spans="1:33" s="410" customFormat="1" x14ac:dyDescent="0.2">
      <c r="A112" s="445">
        <v>9</v>
      </c>
      <c r="B112" s="445">
        <v>10</v>
      </c>
      <c r="C112" s="455">
        <v>1</v>
      </c>
      <c r="D112" s="589"/>
      <c r="E112" s="499"/>
      <c r="F112" s="596">
        <f t="shared" si="19"/>
        <v>-0.25</v>
      </c>
      <c r="G112" s="563">
        <f t="shared" si="20"/>
        <v>0.56000000000000005</v>
      </c>
      <c r="H112" s="377"/>
      <c r="I112" s="360"/>
      <c r="J112" s="360"/>
      <c r="K112" s="360"/>
      <c r="L112" s="360"/>
      <c r="M112" s="360"/>
      <c r="N112" s="360"/>
      <c r="O112" s="377"/>
      <c r="P112" s="377"/>
      <c r="Q112" s="377"/>
      <c r="R112" s="377"/>
      <c r="S112" s="377"/>
      <c r="T112" s="377"/>
      <c r="U112" s="377"/>
      <c r="V112" s="377"/>
      <c r="W112" s="377"/>
      <c r="X112" s="377"/>
      <c r="Y112" s="377"/>
      <c r="AC112" s="484"/>
      <c r="AG112" s="360"/>
    </row>
    <row r="113" spans="1:33" s="410" customFormat="1" x14ac:dyDescent="0.2">
      <c r="A113" s="447">
        <v>10</v>
      </c>
      <c r="B113" s="447">
        <v>11</v>
      </c>
      <c r="C113" s="455">
        <v>1</v>
      </c>
      <c r="D113" s="589"/>
      <c r="E113" s="499"/>
      <c r="F113" s="596">
        <f t="shared" si="19"/>
        <v>-0.25</v>
      </c>
      <c r="G113" s="563">
        <f t="shared" si="20"/>
        <v>0.56000000000000005</v>
      </c>
      <c r="H113" s="390"/>
      <c r="I113" s="412"/>
      <c r="J113" s="412"/>
      <c r="K113" s="412"/>
      <c r="L113" s="412"/>
      <c r="M113" s="412"/>
      <c r="N113" s="412"/>
      <c r="O113" s="390"/>
      <c r="P113" s="390"/>
      <c r="Q113" s="390"/>
      <c r="R113" s="390"/>
      <c r="S113" s="390"/>
      <c r="T113" s="390"/>
      <c r="U113" s="390"/>
      <c r="V113" s="390"/>
      <c r="W113" s="390"/>
      <c r="X113" s="390"/>
      <c r="Y113" s="390"/>
      <c r="AC113" s="484"/>
      <c r="AG113" s="360"/>
    </row>
    <row r="114" spans="1:33" s="410" customFormat="1" x14ac:dyDescent="0.2">
      <c r="A114" s="445">
        <v>11</v>
      </c>
      <c r="B114" s="445">
        <v>12</v>
      </c>
      <c r="C114" s="455">
        <v>1</v>
      </c>
      <c r="D114" s="589"/>
      <c r="E114" s="499"/>
      <c r="F114" s="596">
        <f t="shared" si="19"/>
        <v>-0.25</v>
      </c>
      <c r="G114" s="563">
        <f t="shared" si="20"/>
        <v>0.56000000000000005</v>
      </c>
      <c r="H114" s="391"/>
      <c r="I114" s="360"/>
      <c r="J114" s="360"/>
      <c r="K114" s="360"/>
      <c r="L114" s="360"/>
      <c r="M114" s="360"/>
      <c r="N114" s="360"/>
      <c r="O114" s="391"/>
      <c r="P114" s="391"/>
      <c r="Q114" s="391"/>
      <c r="R114" s="391"/>
      <c r="S114" s="391"/>
      <c r="T114" s="391"/>
      <c r="U114" s="391"/>
      <c r="V114" s="391"/>
      <c r="W114" s="391"/>
      <c r="X114" s="391"/>
      <c r="Y114" s="391"/>
      <c r="AC114" s="484"/>
      <c r="AG114" s="360"/>
    </row>
    <row r="115" spans="1:33" s="410" customFormat="1" x14ac:dyDescent="0.2">
      <c r="A115" s="447">
        <v>12</v>
      </c>
      <c r="B115" s="447">
        <v>13</v>
      </c>
      <c r="C115" s="455">
        <v>1</v>
      </c>
      <c r="D115" s="589"/>
      <c r="E115" s="499"/>
      <c r="F115" s="596">
        <f t="shared" si="19"/>
        <v>-0.25</v>
      </c>
      <c r="G115" s="563">
        <f t="shared" si="20"/>
        <v>0.56000000000000005</v>
      </c>
      <c r="H115" s="391"/>
      <c r="I115" s="360"/>
      <c r="J115" s="360"/>
      <c r="K115" s="360"/>
      <c r="L115" s="360"/>
      <c r="M115" s="360"/>
      <c r="N115" s="360"/>
      <c r="O115" s="391"/>
      <c r="P115" s="391"/>
      <c r="Q115" s="391"/>
      <c r="R115" s="391"/>
      <c r="S115" s="391"/>
      <c r="T115" s="391"/>
      <c r="U115" s="391"/>
      <c r="V115" s="391"/>
      <c r="W115" s="391"/>
      <c r="X115" s="391"/>
      <c r="Y115" s="391"/>
      <c r="Z115" s="391"/>
      <c r="AA115" s="391"/>
      <c r="AB115" s="391"/>
      <c r="AC115" s="483"/>
      <c r="AG115" s="360"/>
    </row>
    <row r="116" spans="1:33" s="410" customFormat="1" x14ac:dyDescent="0.2">
      <c r="A116" s="445">
        <v>13</v>
      </c>
      <c r="B116" s="445">
        <v>14</v>
      </c>
      <c r="C116" s="455">
        <v>1</v>
      </c>
      <c r="D116" s="589"/>
      <c r="E116" s="499"/>
      <c r="F116" s="596">
        <f t="shared" si="19"/>
        <v>-0.25</v>
      </c>
      <c r="G116" s="563">
        <f t="shared" si="20"/>
        <v>0.56000000000000005</v>
      </c>
      <c r="H116" s="391"/>
      <c r="I116" s="360"/>
      <c r="J116" s="360"/>
      <c r="K116" s="360"/>
      <c r="L116" s="360"/>
      <c r="M116" s="360"/>
      <c r="N116" s="360"/>
      <c r="O116" s="391"/>
      <c r="P116" s="391"/>
      <c r="Q116" s="391"/>
      <c r="R116" s="391"/>
      <c r="S116" s="391"/>
      <c r="T116" s="391"/>
      <c r="U116" s="391"/>
      <c r="V116" s="391"/>
      <c r="W116" s="391"/>
      <c r="X116" s="391"/>
      <c r="Y116" s="391"/>
      <c r="Z116" s="391"/>
      <c r="AA116" s="391"/>
      <c r="AB116" s="391"/>
      <c r="AC116" s="483"/>
      <c r="AD116" s="473"/>
      <c r="AE116" s="474"/>
      <c r="AF116" s="475"/>
      <c r="AG116" s="360"/>
    </row>
    <row r="117" spans="1:33" s="410" customFormat="1" x14ac:dyDescent="0.2">
      <c r="A117" s="447">
        <v>14</v>
      </c>
      <c r="B117" s="447">
        <v>15</v>
      </c>
      <c r="C117" s="455">
        <v>1</v>
      </c>
      <c r="D117" s="589"/>
      <c r="E117" s="499"/>
      <c r="F117" s="596">
        <f t="shared" si="19"/>
        <v>-0.25</v>
      </c>
      <c r="G117" s="563">
        <f t="shared" si="20"/>
        <v>0.56000000000000005</v>
      </c>
      <c r="H117" s="391"/>
      <c r="I117" s="360"/>
      <c r="J117" s="360"/>
      <c r="K117" s="360"/>
      <c r="L117" s="360"/>
      <c r="M117" s="360"/>
      <c r="N117" s="360"/>
      <c r="O117" s="391"/>
      <c r="P117" s="391"/>
      <c r="Q117" s="391"/>
      <c r="R117" s="391"/>
      <c r="S117" s="391"/>
      <c r="T117" s="391"/>
      <c r="U117" s="391"/>
      <c r="V117" s="391"/>
      <c r="W117" s="391"/>
      <c r="X117" s="391"/>
      <c r="Y117" s="391"/>
      <c r="Z117" s="391"/>
      <c r="AA117" s="391"/>
      <c r="AB117" s="391"/>
      <c r="AC117" s="483"/>
      <c r="AD117" s="473"/>
      <c r="AE117" s="474"/>
      <c r="AF117" s="475"/>
    </row>
    <row r="118" spans="1:33" s="476" customFormat="1" ht="13.5" thickBot="1" x14ac:dyDescent="0.25">
      <c r="A118" s="445">
        <v>15</v>
      </c>
      <c r="B118" s="445">
        <v>16</v>
      </c>
      <c r="C118" s="455">
        <v>1</v>
      </c>
      <c r="D118" s="589"/>
      <c r="E118" s="499"/>
      <c r="F118" s="596">
        <f t="shared" si="19"/>
        <v>-0.25</v>
      </c>
      <c r="G118" s="563">
        <f t="shared" si="20"/>
        <v>0.56000000000000005</v>
      </c>
      <c r="H118" s="391"/>
      <c r="I118" s="360"/>
      <c r="J118" s="360"/>
      <c r="K118" s="360"/>
      <c r="L118" s="360"/>
      <c r="M118" s="360"/>
      <c r="N118" s="360"/>
      <c r="O118" s="391"/>
      <c r="P118" s="391"/>
      <c r="Q118" s="391"/>
      <c r="R118" s="391"/>
      <c r="S118" s="391"/>
      <c r="T118" s="391"/>
      <c r="U118" s="391"/>
      <c r="V118" s="391"/>
      <c r="W118" s="391"/>
      <c r="X118" s="391"/>
      <c r="Y118" s="391"/>
      <c r="Z118" s="391"/>
      <c r="AA118" s="391"/>
      <c r="AB118" s="391"/>
      <c r="AC118" s="483"/>
      <c r="AD118" s="473"/>
      <c r="AE118" s="474"/>
      <c r="AF118" s="475"/>
      <c r="AG118" s="410"/>
    </row>
    <row r="119" spans="1:33" s="410" customFormat="1" x14ac:dyDescent="0.2">
      <c r="A119" s="447">
        <v>16</v>
      </c>
      <c r="B119" s="447">
        <v>17</v>
      </c>
      <c r="C119" s="455">
        <v>1</v>
      </c>
      <c r="D119" s="589"/>
      <c r="E119" s="499"/>
      <c r="F119" s="596">
        <f t="shared" si="19"/>
        <v>-0.25</v>
      </c>
      <c r="G119" s="563">
        <f t="shared" si="20"/>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D119" s="473"/>
      <c r="AE119" s="474"/>
      <c r="AF119" s="475"/>
    </row>
    <row r="120" spans="1:33" s="360" customFormat="1" x14ac:dyDescent="0.2">
      <c r="A120" s="445">
        <v>17</v>
      </c>
      <c r="B120" s="445">
        <v>18</v>
      </c>
      <c r="C120" s="455">
        <v>1</v>
      </c>
      <c r="D120" s="589"/>
      <c r="E120" s="499"/>
      <c r="F120" s="596">
        <f t="shared" si="19"/>
        <v>-0.25</v>
      </c>
      <c r="G120" s="563">
        <f t="shared" si="20"/>
        <v>0.56000000000000005</v>
      </c>
      <c r="H120" s="391"/>
      <c r="O120" s="391"/>
      <c r="P120" s="391"/>
      <c r="Q120" s="391"/>
      <c r="R120" s="391"/>
      <c r="S120" s="391"/>
      <c r="T120" s="391"/>
      <c r="U120" s="391"/>
      <c r="V120" s="391"/>
      <c r="W120" s="391"/>
      <c r="X120" s="391"/>
      <c r="Y120" s="391"/>
      <c r="Z120" s="391"/>
      <c r="AA120" s="391"/>
      <c r="AB120" s="391"/>
      <c r="AC120" s="483"/>
      <c r="AD120" s="473"/>
      <c r="AE120" s="546"/>
      <c r="AF120" s="410"/>
      <c r="AG120" s="410"/>
    </row>
    <row r="121" spans="1:33" s="360" customFormat="1" x14ac:dyDescent="0.2">
      <c r="A121" s="447">
        <v>18</v>
      </c>
      <c r="B121" s="447">
        <v>19</v>
      </c>
      <c r="C121" s="455">
        <v>1</v>
      </c>
      <c r="D121" s="589"/>
      <c r="E121" s="499"/>
      <c r="F121" s="596">
        <f t="shared" si="19"/>
        <v>-0.25</v>
      </c>
      <c r="G121" s="563">
        <f t="shared" si="20"/>
        <v>0.56000000000000005</v>
      </c>
      <c r="H121" s="394"/>
      <c r="O121" s="393"/>
      <c r="P121" s="393"/>
      <c r="Q121" s="394"/>
      <c r="R121" s="394"/>
      <c r="S121" s="394"/>
      <c r="T121" s="394"/>
      <c r="U121" s="394"/>
      <c r="V121" s="394"/>
      <c r="W121" s="394"/>
      <c r="X121" s="394"/>
      <c r="Y121" s="394"/>
      <c r="Z121" s="394"/>
      <c r="AA121" s="394"/>
      <c r="AB121" s="394"/>
      <c r="AC121" s="485"/>
      <c r="AD121" s="410"/>
      <c r="AE121" s="410"/>
      <c r="AF121" s="410"/>
      <c r="AG121" s="410"/>
    </row>
    <row r="122" spans="1:33" s="360" customFormat="1" x14ac:dyDescent="0.2">
      <c r="A122" s="445">
        <v>19</v>
      </c>
      <c r="B122" s="445">
        <v>20</v>
      </c>
      <c r="C122" s="455">
        <v>1</v>
      </c>
      <c r="D122" s="589"/>
      <c r="E122" s="499"/>
      <c r="F122" s="596">
        <f t="shared" si="19"/>
        <v>-0.25</v>
      </c>
      <c r="G122" s="563">
        <f t="shared" si="20"/>
        <v>0.56000000000000005</v>
      </c>
      <c r="H122" s="395"/>
      <c r="O122" s="419"/>
      <c r="P122" s="419"/>
      <c r="Q122" s="395"/>
      <c r="R122" s="395"/>
      <c r="S122" s="395"/>
      <c r="T122" s="395"/>
      <c r="U122" s="395"/>
      <c r="V122" s="395"/>
      <c r="W122" s="395"/>
      <c r="X122" s="395"/>
      <c r="Y122" s="395"/>
      <c r="Z122" s="395"/>
      <c r="AA122" s="395"/>
      <c r="AB122" s="395"/>
      <c r="AC122" s="486"/>
      <c r="AD122" s="547"/>
      <c r="AE122" s="477"/>
      <c r="AF122" s="410"/>
      <c r="AG122" s="410"/>
    </row>
    <row r="123" spans="1:33" s="410" customFormat="1" x14ac:dyDescent="0.2">
      <c r="A123" s="447">
        <v>20</v>
      </c>
      <c r="B123" s="447">
        <v>21</v>
      </c>
      <c r="C123" s="455">
        <v>1</v>
      </c>
      <c r="D123" s="589"/>
      <c r="E123" s="499"/>
      <c r="F123" s="596">
        <f t="shared" si="19"/>
        <v>-0.25</v>
      </c>
      <c r="G123" s="563">
        <f t="shared" si="20"/>
        <v>0.56000000000000005</v>
      </c>
      <c r="H123" s="395"/>
      <c r="I123" s="360"/>
      <c r="J123" s="360"/>
      <c r="K123" s="360"/>
      <c r="L123" s="360"/>
      <c r="M123" s="360"/>
      <c r="N123" s="360"/>
      <c r="O123" s="419"/>
      <c r="P123" s="419"/>
      <c r="Q123" s="395"/>
      <c r="R123" s="395"/>
      <c r="S123" s="395"/>
      <c r="T123" s="395"/>
      <c r="U123" s="395"/>
      <c r="V123" s="395"/>
      <c r="W123" s="395"/>
      <c r="X123" s="395"/>
      <c r="Y123" s="395"/>
      <c r="Z123" s="395"/>
      <c r="AA123" s="395"/>
      <c r="AB123" s="395"/>
      <c r="AC123" s="486"/>
      <c r="AD123" s="477"/>
      <c r="AE123" s="477"/>
    </row>
    <row r="124" spans="1:33" s="410" customFormat="1" x14ac:dyDescent="0.2">
      <c r="A124" s="445">
        <v>21</v>
      </c>
      <c r="B124" s="445">
        <v>22</v>
      </c>
      <c r="C124" s="455">
        <v>1</v>
      </c>
      <c r="D124" s="589"/>
      <c r="E124" s="499"/>
      <c r="F124" s="596">
        <f t="shared" si="19"/>
        <v>-0.25</v>
      </c>
      <c r="G124" s="563">
        <f t="shared" si="20"/>
        <v>0.56000000000000005</v>
      </c>
      <c r="H124" s="395"/>
      <c r="I124" s="360"/>
      <c r="J124" s="438"/>
      <c r="K124" s="360"/>
      <c r="L124" s="360"/>
      <c r="M124" s="360"/>
      <c r="N124" s="360"/>
      <c r="O124" s="419"/>
      <c r="P124" s="419"/>
      <c r="Q124" s="395"/>
      <c r="R124" s="395"/>
      <c r="S124" s="395"/>
      <c r="T124" s="395"/>
      <c r="U124" s="395"/>
      <c r="V124" s="395"/>
      <c r="W124" s="395"/>
      <c r="X124" s="395"/>
      <c r="Y124" s="395"/>
      <c r="Z124" s="395"/>
      <c r="AA124" s="395"/>
      <c r="AB124" s="395"/>
      <c r="AC124" s="486"/>
      <c r="AD124" s="360"/>
      <c r="AE124" s="360"/>
    </row>
    <row r="125" spans="1:33" s="410" customFormat="1" x14ac:dyDescent="0.2">
      <c r="A125" s="447">
        <v>22</v>
      </c>
      <c r="B125" s="447">
        <v>23</v>
      </c>
      <c r="C125" s="455">
        <v>1</v>
      </c>
      <c r="D125" s="589"/>
      <c r="E125" s="499"/>
      <c r="F125" s="596">
        <f t="shared" si="19"/>
        <v>-0.25</v>
      </c>
      <c r="G125" s="563">
        <f t="shared" si="20"/>
        <v>0.56000000000000005</v>
      </c>
      <c r="H125" s="395"/>
      <c r="I125" s="360"/>
      <c r="J125" s="360"/>
      <c r="K125" s="360"/>
      <c r="L125" s="360"/>
      <c r="M125" s="360"/>
      <c r="N125" s="360"/>
      <c r="O125" s="419"/>
      <c r="P125" s="419"/>
      <c r="Q125" s="395"/>
      <c r="R125" s="395"/>
      <c r="S125" s="395"/>
      <c r="T125" s="395"/>
      <c r="U125" s="395"/>
      <c r="V125" s="395"/>
      <c r="W125" s="395"/>
      <c r="X125" s="395"/>
      <c r="Y125" s="395"/>
      <c r="Z125" s="395"/>
      <c r="AA125" s="395"/>
      <c r="AB125" s="395"/>
      <c r="AC125" s="486"/>
      <c r="AD125" s="473"/>
      <c r="AE125" s="546"/>
      <c r="AF125" s="548"/>
    </row>
    <row r="126" spans="1:33" s="410" customFormat="1" x14ac:dyDescent="0.2">
      <c r="A126" s="447">
        <v>23</v>
      </c>
      <c r="B126" s="445">
        <v>24</v>
      </c>
      <c r="C126" s="455">
        <v>1</v>
      </c>
      <c r="D126" s="589"/>
      <c r="E126" s="540"/>
      <c r="F126" s="596">
        <f t="shared" si="19"/>
        <v>-0.25</v>
      </c>
      <c r="G126" s="563">
        <f t="shared" si="20"/>
        <v>0.56000000000000005</v>
      </c>
      <c r="H126" s="398"/>
      <c r="I126" s="360"/>
      <c r="J126" s="360"/>
      <c r="K126" s="360"/>
      <c r="L126" s="360"/>
      <c r="M126" s="360"/>
      <c r="N126" s="360"/>
      <c r="O126" s="420"/>
      <c r="P126" s="420"/>
      <c r="Q126" s="398"/>
      <c r="R126" s="398"/>
      <c r="S126" s="398"/>
      <c r="T126" s="398"/>
      <c r="U126" s="398"/>
      <c r="V126" s="398"/>
      <c r="W126" s="398"/>
      <c r="X126" s="398"/>
      <c r="Y126" s="398"/>
      <c r="Z126" s="395"/>
      <c r="AA126" s="395"/>
      <c r="AB126" s="395"/>
      <c r="AC126" s="486"/>
      <c r="AD126" s="473"/>
      <c r="AE126" s="546"/>
      <c r="AF126" s="548"/>
    </row>
    <row r="127" spans="1:33" s="410" customFormat="1" x14ac:dyDescent="0.2">
      <c r="A127" s="585">
        <v>24</v>
      </c>
      <c r="B127" s="447">
        <v>1</v>
      </c>
      <c r="C127" s="455">
        <v>1</v>
      </c>
      <c r="D127" s="591"/>
      <c r="E127" s="496"/>
      <c r="F127" s="360"/>
      <c r="G127" s="563">
        <f t="shared" si="20"/>
        <v>0.56000000000000005</v>
      </c>
      <c r="H127" s="398"/>
      <c r="I127" s="360"/>
      <c r="J127" s="360"/>
      <c r="K127" s="360"/>
      <c r="L127" s="360"/>
      <c r="M127" s="360"/>
      <c r="N127" s="360"/>
      <c r="O127" s="420"/>
      <c r="P127" s="420"/>
      <c r="Q127" s="398"/>
      <c r="R127" s="398"/>
      <c r="S127" s="398"/>
      <c r="T127" s="398"/>
      <c r="U127" s="398"/>
      <c r="V127" s="398"/>
      <c r="W127" s="398"/>
      <c r="X127" s="398"/>
      <c r="Y127" s="398"/>
      <c r="Z127" s="395"/>
      <c r="AA127" s="395"/>
      <c r="AB127" s="395"/>
      <c r="AC127" s="486"/>
      <c r="AD127" s="477"/>
      <c r="AE127" s="477"/>
      <c r="AF127" s="548"/>
    </row>
    <row r="128" spans="1:33" s="410" customFormat="1" ht="13.5" thickBot="1" x14ac:dyDescent="0.25">
      <c r="A128" s="360"/>
      <c r="B128" s="360"/>
      <c r="C128" s="360"/>
      <c r="D128" s="589"/>
      <c r="E128" s="360"/>
      <c r="F128" s="458"/>
      <c r="G128" s="445"/>
      <c r="H128" s="398"/>
      <c r="I128" s="360"/>
      <c r="J128" s="360"/>
      <c r="K128" s="360"/>
      <c r="L128" s="360"/>
      <c r="M128" s="360"/>
      <c r="N128" s="360"/>
      <c r="O128" s="420"/>
      <c r="P128" s="420"/>
      <c r="Q128" s="398"/>
      <c r="R128" s="398"/>
      <c r="S128" s="398"/>
      <c r="T128" s="398"/>
      <c r="U128" s="398"/>
      <c r="V128" s="398"/>
      <c r="W128" s="398"/>
      <c r="X128" s="398"/>
      <c r="Y128" s="398"/>
      <c r="Z128" s="395"/>
      <c r="AA128" s="395"/>
      <c r="AB128" s="395"/>
      <c r="AC128" s="486"/>
      <c r="AF128" s="471"/>
      <c r="AG128" s="476"/>
    </row>
    <row r="129" spans="1:33" s="410" customFormat="1" ht="18" x14ac:dyDescent="0.25">
      <c r="A129" s="444"/>
      <c r="B129" s="457" t="s">
        <v>243</v>
      </c>
      <c r="C129" s="458"/>
      <c r="D129" s="592"/>
      <c r="E129" s="458"/>
      <c r="F129" s="673"/>
      <c r="G129" s="445"/>
      <c r="H129" s="445"/>
      <c r="I129" s="360"/>
      <c r="J129" s="360"/>
      <c r="K129" s="360"/>
      <c r="L129" s="360"/>
      <c r="M129" s="360"/>
      <c r="N129" s="360"/>
      <c r="O129" s="459"/>
      <c r="P129" s="459"/>
      <c r="Q129" s="445"/>
      <c r="R129" s="445"/>
      <c r="S129" s="445"/>
      <c r="T129" s="445"/>
      <c r="U129" s="445"/>
      <c r="V129" s="445"/>
      <c r="W129" s="445"/>
      <c r="X129" s="445"/>
      <c r="Y129" s="398"/>
      <c r="Z129" s="395"/>
      <c r="AA129" s="395"/>
      <c r="AB129" s="395"/>
      <c r="AC129" s="486"/>
      <c r="AF129" s="471"/>
    </row>
    <row r="130" spans="1:33" s="410" customFormat="1" ht="18.75" thickBot="1" x14ac:dyDescent="0.3">
      <c r="A130" s="445"/>
      <c r="B130" s="445"/>
      <c r="C130" s="445"/>
      <c r="D130" s="593"/>
      <c r="E130" s="445"/>
      <c r="F130" s="672" t="s">
        <v>272</v>
      </c>
      <c r="G130" s="445"/>
      <c r="H130" s="445"/>
      <c r="I130" s="360"/>
      <c r="J130" s="360"/>
      <c r="K130" s="360"/>
      <c r="L130" s="360"/>
      <c r="M130" s="360"/>
      <c r="N130" s="360"/>
      <c r="O130" s="459"/>
      <c r="P130" s="459"/>
      <c r="Q130" s="445"/>
      <c r="R130" s="445"/>
      <c r="S130" s="445"/>
      <c r="T130" s="445"/>
      <c r="U130" s="445"/>
      <c r="V130" s="445"/>
      <c r="W130" s="445"/>
      <c r="X130" s="445"/>
      <c r="Y130" s="398"/>
      <c r="Z130" s="395"/>
      <c r="AA130" s="395"/>
      <c r="AB130" s="395"/>
      <c r="AC130" s="486"/>
      <c r="AF130" s="360"/>
      <c r="AG130" s="360"/>
    </row>
    <row r="131" spans="1:33" s="410" customFormat="1" ht="18.75" thickBot="1" x14ac:dyDescent="0.3">
      <c r="A131" s="448" t="s">
        <v>7</v>
      </c>
      <c r="B131" s="449"/>
      <c r="C131" s="449" t="s">
        <v>266</v>
      </c>
      <c r="D131" s="590"/>
      <c r="E131" s="449"/>
      <c r="F131" s="671" t="s">
        <v>320</v>
      </c>
      <c r="G131" s="450"/>
      <c r="H131" s="445" t="s">
        <v>273</v>
      </c>
      <c r="I131" s="360"/>
      <c r="J131" s="360"/>
      <c r="K131" s="360"/>
      <c r="L131" s="360"/>
      <c r="M131" s="360"/>
      <c r="N131" s="360"/>
      <c r="O131" s="459"/>
      <c r="P131" s="459"/>
      <c r="Q131" s="445"/>
      <c r="R131" s="445"/>
      <c r="S131" s="445"/>
      <c r="T131" s="445"/>
      <c r="U131" s="445"/>
      <c r="V131" s="445"/>
      <c r="W131" s="445"/>
      <c r="X131" s="445"/>
      <c r="Y131" s="398"/>
      <c r="Z131" s="398"/>
      <c r="AA131" s="398"/>
      <c r="AB131" s="398"/>
      <c r="AC131" s="487"/>
      <c r="AF131" s="360"/>
      <c r="AG131" s="360"/>
    </row>
    <row r="132" spans="1:33" s="410" customFormat="1" ht="18" x14ac:dyDescent="0.25">
      <c r="A132" s="453" t="s">
        <v>244</v>
      </c>
      <c r="B132" s="454" t="s">
        <v>245</v>
      </c>
      <c r="C132" s="454"/>
      <c r="D132" s="594"/>
      <c r="E132" s="451"/>
      <c r="F132" s="596">
        <f t="shared" ref="F132:F156" si="21">D133-0.25</f>
        <v>-0.25</v>
      </c>
      <c r="G132" s="445" t="s">
        <v>321</v>
      </c>
      <c r="H132" s="460">
        <v>4.3999999999999997E-2</v>
      </c>
      <c r="I132" s="461" t="s">
        <v>275</v>
      </c>
      <c r="J132" s="360"/>
      <c r="K132" s="360"/>
      <c r="L132" s="360"/>
      <c r="M132" s="462" t="s">
        <v>276</v>
      </c>
      <c r="N132" s="463"/>
      <c r="O132" s="459"/>
      <c r="P132" s="459"/>
      <c r="Q132" s="445"/>
      <c r="R132" s="445"/>
      <c r="S132" s="445"/>
      <c r="T132" s="445"/>
      <c r="U132" s="445"/>
      <c r="V132" s="445"/>
      <c r="W132" s="445"/>
      <c r="X132" s="445"/>
      <c r="Y132" s="398"/>
      <c r="Z132" s="398"/>
      <c r="AA132" s="398"/>
      <c r="AB132" s="398"/>
      <c r="AC132" s="487"/>
      <c r="AF132" s="360"/>
      <c r="AG132" s="360"/>
    </row>
    <row r="133" spans="1:33" s="410" customFormat="1" x14ac:dyDescent="0.2">
      <c r="A133" s="447">
        <v>24</v>
      </c>
      <c r="B133" s="445">
        <v>1</v>
      </c>
      <c r="C133" s="455">
        <v>1</v>
      </c>
      <c r="D133" s="589"/>
      <c r="E133" s="540"/>
      <c r="F133" s="596">
        <f t="shared" si="21"/>
        <v>-0.25</v>
      </c>
      <c r="G133" s="563">
        <f>D133+0.56</f>
        <v>0.56000000000000005</v>
      </c>
      <c r="I133" s="464" t="s">
        <v>274</v>
      </c>
      <c r="J133" s="465"/>
      <c r="K133" s="360"/>
      <c r="L133" s="360"/>
      <c r="M133" s="360"/>
      <c r="N133" s="360"/>
      <c r="O133" s="459"/>
      <c r="P133" s="459"/>
      <c r="Q133" s="445"/>
      <c r="R133" s="445"/>
      <c r="S133" s="445"/>
      <c r="T133" s="445"/>
      <c r="U133" s="445"/>
      <c r="V133" s="445"/>
      <c r="W133" s="445"/>
      <c r="X133" s="445"/>
      <c r="Y133" s="398"/>
      <c r="Z133" s="398"/>
      <c r="AA133" s="468"/>
      <c r="AB133" s="398"/>
      <c r="AC133" s="487"/>
      <c r="AD133" s="360"/>
      <c r="AE133" s="360"/>
      <c r="AF133" s="360"/>
    </row>
    <row r="134" spans="1:33" s="410" customFormat="1" x14ac:dyDescent="0.2">
      <c r="A134" s="445">
        <v>1</v>
      </c>
      <c r="B134" s="445">
        <v>2</v>
      </c>
      <c r="C134" s="455">
        <v>1</v>
      </c>
      <c r="D134" s="595"/>
      <c r="E134" s="499"/>
      <c r="F134" s="596">
        <f t="shared" si="21"/>
        <v>-0.25</v>
      </c>
      <c r="G134" s="563">
        <f t="shared" ref="G134:G156" si="22">D134+0.56</f>
        <v>0.56000000000000005</v>
      </c>
      <c r="I134" s="464"/>
      <c r="J134" s="465"/>
      <c r="K134" s="360"/>
      <c r="L134" s="360"/>
      <c r="M134" s="360"/>
      <c r="N134" s="360"/>
      <c r="O134" s="459"/>
      <c r="P134" s="459"/>
      <c r="Q134" s="445"/>
      <c r="R134" s="445"/>
      <c r="S134" s="445"/>
      <c r="T134" s="445"/>
      <c r="U134" s="445"/>
      <c r="V134" s="445"/>
      <c r="W134" s="445"/>
      <c r="X134" s="445"/>
      <c r="Y134" s="398"/>
      <c r="Z134" s="398"/>
      <c r="AA134" s="468"/>
      <c r="AB134" s="398"/>
      <c r="AC134" s="487"/>
      <c r="AD134" s="411"/>
      <c r="AE134" s="360"/>
      <c r="AF134" s="360"/>
    </row>
    <row r="135" spans="1:33" s="410" customFormat="1" x14ac:dyDescent="0.2">
      <c r="A135" s="447">
        <v>2</v>
      </c>
      <c r="B135" s="445">
        <v>3</v>
      </c>
      <c r="C135" s="455">
        <v>1</v>
      </c>
      <c r="D135" s="591"/>
      <c r="E135" s="499"/>
      <c r="F135" s="596">
        <f t="shared" si="21"/>
        <v>-0.25</v>
      </c>
      <c r="G135" s="563">
        <f t="shared" si="22"/>
        <v>0.56000000000000005</v>
      </c>
      <c r="I135" s="464"/>
      <c r="J135" s="465"/>
      <c r="K135" s="383"/>
      <c r="L135" s="383"/>
      <c r="M135" s="383"/>
      <c r="N135" s="383"/>
      <c r="O135" s="459"/>
      <c r="P135" s="459"/>
      <c r="Q135" s="445"/>
      <c r="R135" s="445"/>
      <c r="S135" s="445"/>
      <c r="T135" s="445"/>
      <c r="U135" s="445"/>
      <c r="V135" s="445"/>
      <c r="W135" s="445"/>
      <c r="X135" s="445"/>
      <c r="Y135" s="398"/>
      <c r="Z135" s="398"/>
      <c r="AA135" s="468"/>
      <c r="AB135" s="398"/>
      <c r="AC135" s="487"/>
      <c r="AF135" s="360"/>
    </row>
    <row r="136" spans="1:33" s="410" customFormat="1" x14ac:dyDescent="0.2">
      <c r="A136" s="445">
        <v>3</v>
      </c>
      <c r="B136" s="445">
        <v>4</v>
      </c>
      <c r="C136" s="455">
        <v>1</v>
      </c>
      <c r="D136" s="591"/>
      <c r="E136" s="499"/>
      <c r="F136" s="596">
        <f t="shared" si="21"/>
        <v>-0.25</v>
      </c>
      <c r="G136" s="563">
        <f t="shared" si="22"/>
        <v>0.56000000000000005</v>
      </c>
      <c r="I136" s="466"/>
      <c r="J136" s="465"/>
      <c r="K136" s="445"/>
      <c r="L136" s="445"/>
      <c r="M136" s="459"/>
      <c r="N136" s="459"/>
      <c r="O136" s="445"/>
      <c r="P136" s="445"/>
      <c r="Q136" s="445"/>
      <c r="R136" s="445"/>
      <c r="S136" s="445"/>
      <c r="T136" s="445"/>
      <c r="U136" s="445"/>
      <c r="V136" s="445"/>
      <c r="W136" s="445"/>
      <c r="X136" s="445"/>
      <c r="Y136" s="398"/>
      <c r="Z136" s="398"/>
      <c r="AA136" s="468"/>
      <c r="AB136" s="398"/>
      <c r="AC136" s="487"/>
      <c r="AD136" s="439"/>
      <c r="AE136" s="440"/>
      <c r="AF136" s="360"/>
    </row>
    <row r="137" spans="1:33" s="410" customFormat="1" x14ac:dyDescent="0.2">
      <c r="A137" s="447">
        <v>4</v>
      </c>
      <c r="B137" s="445">
        <v>5</v>
      </c>
      <c r="C137" s="455">
        <v>1</v>
      </c>
      <c r="D137" s="591"/>
      <c r="E137" s="499"/>
      <c r="F137" s="596">
        <f t="shared" si="21"/>
        <v>-0.25</v>
      </c>
      <c r="G137" s="563">
        <f t="shared" si="22"/>
        <v>0.56000000000000005</v>
      </c>
      <c r="I137" s="466"/>
      <c r="J137" s="465"/>
      <c r="K137" s="445"/>
      <c r="L137" s="445"/>
      <c r="M137" s="459"/>
      <c r="N137" s="459"/>
      <c r="O137" s="445"/>
      <c r="P137" s="445"/>
      <c r="Q137" s="445"/>
      <c r="R137" s="445"/>
      <c r="S137" s="445"/>
      <c r="T137" s="445"/>
      <c r="U137" s="445"/>
      <c r="V137" s="445"/>
      <c r="W137" s="445"/>
      <c r="X137" s="445"/>
      <c r="Y137" s="398"/>
      <c r="Z137" s="398"/>
      <c r="AA137" s="468"/>
      <c r="AB137" s="398"/>
      <c r="AC137" s="487"/>
      <c r="AD137" s="411"/>
      <c r="AE137" s="360"/>
      <c r="AF137" s="360"/>
    </row>
    <row r="138" spans="1:33" s="410" customFormat="1" x14ac:dyDescent="0.2">
      <c r="A138" s="445">
        <v>5</v>
      </c>
      <c r="B138" s="445">
        <v>6</v>
      </c>
      <c r="C138" s="455">
        <v>1</v>
      </c>
      <c r="D138" s="591"/>
      <c r="E138" s="499"/>
      <c r="F138" s="596">
        <f t="shared" si="21"/>
        <v>-0.25</v>
      </c>
      <c r="G138" s="563">
        <f t="shared" si="22"/>
        <v>0.56000000000000005</v>
      </c>
      <c r="I138" s="466"/>
      <c r="J138" s="465"/>
      <c r="K138" s="445"/>
      <c r="L138" s="445"/>
      <c r="M138" s="459"/>
      <c r="N138" s="459"/>
      <c r="O138" s="445"/>
      <c r="P138" s="445"/>
      <c r="Q138" s="445"/>
      <c r="R138" s="445"/>
      <c r="S138" s="445"/>
      <c r="T138" s="445"/>
      <c r="U138" s="445"/>
      <c r="V138" s="445"/>
      <c r="W138" s="445"/>
      <c r="X138" s="445"/>
      <c r="Y138" s="398"/>
      <c r="Z138" s="398"/>
      <c r="AA138" s="468"/>
      <c r="AB138" s="398"/>
      <c r="AC138" s="487"/>
      <c r="AD138" s="411"/>
      <c r="AE138" s="360"/>
      <c r="AF138" s="360"/>
    </row>
    <row r="139" spans="1:33" s="410" customFormat="1" x14ac:dyDescent="0.2">
      <c r="A139" s="447">
        <v>6</v>
      </c>
      <c r="B139" s="445">
        <v>7</v>
      </c>
      <c r="C139" s="455">
        <v>1</v>
      </c>
      <c r="D139" s="591"/>
      <c r="E139" s="499"/>
      <c r="F139" s="596">
        <f t="shared" si="21"/>
        <v>-0.25</v>
      </c>
      <c r="G139" s="563">
        <f t="shared" si="22"/>
        <v>0.56000000000000005</v>
      </c>
      <c r="I139" s="466"/>
      <c r="J139" s="465"/>
      <c r="K139" s="445"/>
      <c r="L139" s="445"/>
      <c r="M139" s="459"/>
      <c r="N139" s="459"/>
      <c r="O139" s="445"/>
      <c r="P139" s="445"/>
      <c r="Q139" s="445"/>
      <c r="R139" s="445"/>
      <c r="S139" s="445"/>
      <c r="T139" s="445"/>
      <c r="U139" s="445"/>
      <c r="V139" s="445"/>
      <c r="W139" s="445"/>
      <c r="X139" s="445"/>
      <c r="Y139" s="398"/>
      <c r="Z139" s="377"/>
      <c r="AA139" s="468"/>
      <c r="AB139" s="377"/>
      <c r="AC139" s="482"/>
      <c r="AD139" s="411"/>
      <c r="AE139" s="360"/>
      <c r="AF139" s="360"/>
    </row>
    <row r="140" spans="1:33" s="410" customFormat="1" x14ac:dyDescent="0.2">
      <c r="A140" s="445">
        <v>7</v>
      </c>
      <c r="B140" s="445">
        <v>8</v>
      </c>
      <c r="C140" s="455">
        <v>1</v>
      </c>
      <c r="D140" s="591"/>
      <c r="E140" s="499"/>
      <c r="F140" s="596">
        <f t="shared" si="21"/>
        <v>-0.25</v>
      </c>
      <c r="G140" s="563">
        <f t="shared" si="22"/>
        <v>0.56000000000000005</v>
      </c>
      <c r="I140" s="466"/>
      <c r="J140" s="465"/>
      <c r="K140" s="445"/>
      <c r="L140" s="445"/>
      <c r="M140" s="459"/>
      <c r="N140" s="459"/>
      <c r="O140" s="445"/>
      <c r="P140" s="445"/>
      <c r="Q140" s="445"/>
      <c r="R140" s="445"/>
      <c r="S140" s="445"/>
      <c r="T140" s="445"/>
      <c r="U140" s="445"/>
      <c r="V140" s="445"/>
      <c r="W140" s="445"/>
      <c r="X140" s="445"/>
      <c r="Y140" s="398"/>
      <c r="Z140" s="377"/>
      <c r="AA140" s="468"/>
      <c r="AB140" s="377"/>
      <c r="AC140" s="482"/>
      <c r="AD140" s="411"/>
      <c r="AE140" s="360"/>
      <c r="AF140" s="360"/>
    </row>
    <row r="141" spans="1:33" s="410" customFormat="1" x14ac:dyDescent="0.2">
      <c r="A141" s="447">
        <v>8</v>
      </c>
      <c r="B141" s="445">
        <v>9</v>
      </c>
      <c r="C141" s="455">
        <v>1</v>
      </c>
      <c r="D141" s="591"/>
      <c r="E141" s="499"/>
      <c r="F141" s="596">
        <f t="shared" si="21"/>
        <v>-0.25</v>
      </c>
      <c r="G141" s="563">
        <f t="shared" si="22"/>
        <v>0.56000000000000005</v>
      </c>
      <c r="I141" s="466"/>
      <c r="J141" s="465"/>
      <c r="K141" s="445"/>
      <c r="L141" s="445"/>
      <c r="M141" s="459"/>
      <c r="N141" s="459"/>
      <c r="O141" s="445"/>
      <c r="P141" s="445"/>
      <c r="Q141" s="445"/>
      <c r="R141" s="445"/>
      <c r="S141" s="445"/>
      <c r="T141" s="445"/>
      <c r="U141" s="445"/>
      <c r="V141" s="445"/>
      <c r="W141" s="445"/>
      <c r="X141" s="445"/>
      <c r="Y141" s="398"/>
      <c r="Z141" s="377"/>
      <c r="AA141" s="468"/>
      <c r="AB141" s="377"/>
      <c r="AC141" s="482"/>
      <c r="AD141" s="403"/>
      <c r="AE141" s="404"/>
      <c r="AF141" s="411"/>
    </row>
    <row r="142" spans="1:33" s="410" customFormat="1" x14ac:dyDescent="0.2">
      <c r="A142" s="445">
        <v>9</v>
      </c>
      <c r="B142" s="445">
        <v>10</v>
      </c>
      <c r="C142" s="455">
        <v>1</v>
      </c>
      <c r="D142" s="591"/>
      <c r="E142" s="499"/>
      <c r="F142" s="596">
        <f t="shared" si="21"/>
        <v>-0.25</v>
      </c>
      <c r="G142" s="563">
        <f t="shared" si="22"/>
        <v>0.56000000000000005</v>
      </c>
      <c r="I142" s="466"/>
      <c r="J142" s="465"/>
      <c r="K142" s="445"/>
      <c r="L142" s="445"/>
      <c r="M142" s="459"/>
      <c r="N142" s="459"/>
      <c r="O142" s="445"/>
      <c r="P142" s="445"/>
      <c r="Q142" s="445"/>
      <c r="R142" s="445"/>
      <c r="S142" s="445"/>
      <c r="T142" s="445"/>
      <c r="U142" s="445"/>
      <c r="V142" s="445"/>
      <c r="W142" s="445"/>
      <c r="X142" s="445"/>
      <c r="Y142" s="398"/>
      <c r="Z142" s="377"/>
      <c r="AA142" s="468"/>
      <c r="AB142" s="377"/>
      <c r="AC142" s="482"/>
      <c r="AD142" s="405"/>
      <c r="AE142" s="405"/>
      <c r="AF142" s="411"/>
    </row>
    <row r="143" spans="1:33" s="410" customFormat="1" x14ac:dyDescent="0.2">
      <c r="A143" s="447">
        <v>10</v>
      </c>
      <c r="B143" s="445">
        <v>11</v>
      </c>
      <c r="C143" s="455">
        <v>1</v>
      </c>
      <c r="D143" s="591"/>
      <c r="E143" s="499"/>
      <c r="F143" s="596">
        <f t="shared" si="21"/>
        <v>-0.25</v>
      </c>
      <c r="G143" s="563">
        <f t="shared" si="22"/>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03"/>
      <c r="AE143" s="404"/>
      <c r="AF143" s="411"/>
    </row>
    <row r="144" spans="1:33" s="410" customFormat="1" x14ac:dyDescent="0.2">
      <c r="A144" s="445">
        <v>11</v>
      </c>
      <c r="B144" s="445">
        <v>12</v>
      </c>
      <c r="C144" s="455">
        <v>1</v>
      </c>
      <c r="D144" s="591"/>
      <c r="E144" s="499"/>
      <c r="F144" s="596">
        <f t="shared" si="21"/>
        <v>-0.25</v>
      </c>
      <c r="G144" s="563">
        <f t="shared" si="22"/>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08"/>
      <c r="AE144" s="406"/>
      <c r="AF144" s="411"/>
    </row>
    <row r="145" spans="1:32" s="410" customFormat="1" x14ac:dyDescent="0.2">
      <c r="A145" s="447">
        <v>12</v>
      </c>
      <c r="B145" s="445">
        <v>13</v>
      </c>
      <c r="C145" s="455">
        <v>1</v>
      </c>
      <c r="D145" s="591"/>
      <c r="E145" s="499"/>
      <c r="F145" s="596">
        <f t="shared" si="21"/>
        <v>-0.25</v>
      </c>
      <c r="G145" s="563">
        <f t="shared" si="22"/>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8"/>
      <c r="AE145" s="406"/>
      <c r="AF145" s="411"/>
    </row>
    <row r="146" spans="1:32" s="410" customFormat="1" x14ac:dyDescent="0.2">
      <c r="A146" s="445">
        <v>13</v>
      </c>
      <c r="B146" s="445">
        <v>14</v>
      </c>
      <c r="C146" s="455">
        <v>1</v>
      </c>
      <c r="D146" s="591"/>
      <c r="E146" s="499"/>
      <c r="F146" s="596">
        <f t="shared" si="21"/>
        <v>-0.25</v>
      </c>
      <c r="G146" s="563">
        <f t="shared" si="22"/>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8"/>
      <c r="AE146" s="421"/>
      <c r="AF146" s="411"/>
    </row>
    <row r="147" spans="1:32" s="410" customFormat="1" x14ac:dyDescent="0.2">
      <c r="A147" s="447">
        <v>14</v>
      </c>
      <c r="B147" s="445">
        <v>15</v>
      </c>
      <c r="C147" s="455">
        <v>1</v>
      </c>
      <c r="D147" s="591"/>
      <c r="E147" s="499"/>
      <c r="F147" s="596">
        <f t="shared" si="21"/>
        <v>-0.25</v>
      </c>
      <c r="G147" s="563">
        <f t="shared" si="22"/>
        <v>0.56000000000000005</v>
      </c>
      <c r="H147" s="410" t="s">
        <v>170</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8"/>
      <c r="AE147" s="422"/>
      <c r="AF147" s="360"/>
    </row>
    <row r="148" spans="1:32" s="410" customFormat="1" x14ac:dyDescent="0.2">
      <c r="A148" s="445">
        <v>15</v>
      </c>
      <c r="B148" s="445">
        <v>16</v>
      </c>
      <c r="C148" s="455">
        <v>1</v>
      </c>
      <c r="D148" s="591"/>
      <c r="E148" s="499"/>
      <c r="F148" s="596">
        <f t="shared" si="21"/>
        <v>-0.25</v>
      </c>
      <c r="G148" s="563">
        <f t="shared" si="22"/>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3"/>
      <c r="AE148" s="404"/>
      <c r="AF148" s="360"/>
    </row>
    <row r="149" spans="1:32" s="410" customFormat="1" x14ac:dyDescent="0.2">
      <c r="A149" s="447">
        <v>16</v>
      </c>
      <c r="B149" s="445">
        <v>17</v>
      </c>
      <c r="C149" s="455">
        <v>1</v>
      </c>
      <c r="D149" s="591"/>
      <c r="E149" s="499"/>
      <c r="F149" s="596">
        <f t="shared" si="21"/>
        <v>-0.25</v>
      </c>
      <c r="G149" s="563">
        <f t="shared" si="22"/>
        <v>0.56000000000000005</v>
      </c>
      <c r="I149" s="466"/>
      <c r="J149" s="465"/>
      <c r="K149" s="445"/>
      <c r="L149" s="445"/>
      <c r="M149" s="459"/>
      <c r="N149" s="459"/>
      <c r="O149" s="445"/>
      <c r="R149" s="445"/>
      <c r="S149" s="445"/>
      <c r="T149" s="445"/>
      <c r="U149" s="445"/>
      <c r="V149" s="445"/>
      <c r="W149" s="445"/>
      <c r="X149" s="445"/>
      <c r="Y149" s="398"/>
      <c r="Z149" s="377"/>
      <c r="AA149" s="468"/>
      <c r="AB149" s="377"/>
      <c r="AC149" s="482"/>
      <c r="AD149" s="403"/>
      <c r="AE149" s="404"/>
      <c r="AF149" s="405"/>
    </row>
    <row r="150" spans="1:32" s="410" customFormat="1" x14ac:dyDescent="0.2">
      <c r="A150" s="445">
        <v>17</v>
      </c>
      <c r="B150" s="445">
        <v>18</v>
      </c>
      <c r="C150" s="455">
        <v>1</v>
      </c>
      <c r="D150" s="591"/>
      <c r="E150" s="499"/>
      <c r="F150" s="596">
        <f t="shared" si="21"/>
        <v>-0.25</v>
      </c>
      <c r="G150" s="563">
        <f t="shared" si="22"/>
        <v>0.56000000000000005</v>
      </c>
      <c r="I150" s="466"/>
      <c r="J150" s="465"/>
      <c r="K150" s="445"/>
      <c r="L150" s="445"/>
      <c r="M150" s="459"/>
      <c r="N150" s="459"/>
      <c r="O150" s="445"/>
      <c r="R150" s="445"/>
      <c r="S150" s="445"/>
      <c r="T150" s="445"/>
      <c r="U150" s="445"/>
      <c r="V150" s="445"/>
      <c r="W150" s="445"/>
      <c r="X150" s="445"/>
      <c r="Y150" s="398"/>
      <c r="Z150" s="377"/>
      <c r="AA150" s="468"/>
      <c r="AB150" s="377"/>
      <c r="AC150" s="482"/>
      <c r="AD150" s="388"/>
      <c r="AE150" s="388"/>
      <c r="AF150" s="403"/>
    </row>
    <row r="151" spans="1:32" s="410" customFormat="1" x14ac:dyDescent="0.2">
      <c r="A151" s="447">
        <v>18</v>
      </c>
      <c r="B151" s="445">
        <v>19</v>
      </c>
      <c r="C151" s="455">
        <v>1</v>
      </c>
      <c r="D151" s="591"/>
      <c r="E151" s="499"/>
      <c r="F151" s="596">
        <f t="shared" si="21"/>
        <v>-0.25</v>
      </c>
      <c r="G151" s="563">
        <f t="shared" si="22"/>
        <v>0.56000000000000005</v>
      </c>
      <c r="I151" s="466"/>
      <c r="J151" s="465"/>
      <c r="K151" s="445"/>
      <c r="L151" s="445"/>
      <c r="M151" s="459"/>
      <c r="N151" s="459"/>
      <c r="O151" s="445"/>
      <c r="R151" s="445"/>
      <c r="S151" s="445"/>
      <c r="T151" s="445"/>
      <c r="U151" s="445"/>
      <c r="V151" s="445"/>
      <c r="W151" s="445"/>
      <c r="X151" s="445"/>
      <c r="Y151" s="398"/>
      <c r="Z151" s="377"/>
      <c r="AA151" s="468"/>
      <c r="AB151" s="377"/>
      <c r="AC151" s="482"/>
      <c r="AD151" s="377"/>
      <c r="AE151" s="377"/>
      <c r="AF151" s="403"/>
    </row>
    <row r="152" spans="1:32" s="410" customFormat="1" x14ac:dyDescent="0.2">
      <c r="A152" s="445">
        <v>19</v>
      </c>
      <c r="B152" s="445">
        <v>20</v>
      </c>
      <c r="C152" s="455">
        <v>1</v>
      </c>
      <c r="D152" s="591"/>
      <c r="E152" s="499"/>
      <c r="F152" s="596">
        <f t="shared" si="21"/>
        <v>-0.25</v>
      </c>
      <c r="G152" s="563">
        <f t="shared" si="22"/>
        <v>0.56000000000000005</v>
      </c>
      <c r="I152" s="466"/>
      <c r="J152" s="465"/>
      <c r="K152" s="445"/>
      <c r="L152" s="445"/>
      <c r="M152" s="459"/>
      <c r="N152" s="459"/>
      <c r="O152" s="445"/>
      <c r="R152" s="445"/>
      <c r="S152" s="445"/>
      <c r="T152" s="445"/>
      <c r="U152" s="445"/>
      <c r="V152" s="445"/>
      <c r="W152" s="445"/>
      <c r="X152" s="445"/>
      <c r="Y152" s="398"/>
      <c r="Z152" s="377"/>
      <c r="AA152" s="468"/>
      <c r="AB152" s="377"/>
      <c r="AC152" s="482"/>
      <c r="AD152" s="389"/>
      <c r="AE152" s="389"/>
      <c r="AF152" s="401"/>
    </row>
    <row r="153" spans="1:32" s="410" customFormat="1" x14ac:dyDescent="0.2">
      <c r="A153" s="447">
        <v>20</v>
      </c>
      <c r="B153" s="445">
        <v>21</v>
      </c>
      <c r="C153" s="455">
        <v>1</v>
      </c>
      <c r="D153" s="591"/>
      <c r="E153" s="499"/>
      <c r="F153" s="596">
        <f t="shared" si="21"/>
        <v>-0.25</v>
      </c>
      <c r="G153" s="563">
        <f t="shared" si="22"/>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389"/>
      <c r="AE153" s="389"/>
      <c r="AF153" s="374"/>
    </row>
    <row r="154" spans="1:32" s="410" customFormat="1" x14ac:dyDescent="0.2">
      <c r="A154" s="445">
        <v>21</v>
      </c>
      <c r="B154" s="445">
        <v>22</v>
      </c>
      <c r="C154" s="455">
        <v>1</v>
      </c>
      <c r="D154" s="591"/>
      <c r="E154" s="499"/>
      <c r="F154" s="596">
        <f t="shared" si="21"/>
        <v>-0.25</v>
      </c>
      <c r="G154" s="563">
        <f t="shared" si="22"/>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77"/>
      <c r="AE154" s="377"/>
      <c r="AF154" s="374"/>
    </row>
    <row r="155" spans="1:32" s="410" customFormat="1" x14ac:dyDescent="0.2">
      <c r="A155" s="447">
        <v>22</v>
      </c>
      <c r="B155" s="445">
        <v>23</v>
      </c>
      <c r="C155" s="455">
        <v>1</v>
      </c>
      <c r="D155" s="591"/>
      <c r="E155" s="499"/>
      <c r="F155" s="596">
        <f t="shared" si="21"/>
        <v>-0.25</v>
      </c>
      <c r="G155" s="563">
        <f t="shared" si="22"/>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77"/>
      <c r="AE155" s="377"/>
      <c r="AF155" s="374"/>
    </row>
    <row r="156" spans="1:32" s="410" customFormat="1" x14ac:dyDescent="0.2">
      <c r="A156" s="447">
        <v>23</v>
      </c>
      <c r="B156" s="445">
        <v>24</v>
      </c>
      <c r="C156" s="455">
        <v>1</v>
      </c>
      <c r="D156" s="591"/>
      <c r="E156" s="540"/>
      <c r="F156" s="596">
        <f t="shared" si="21"/>
        <v>-0.25</v>
      </c>
      <c r="G156" s="563">
        <f t="shared" si="22"/>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90"/>
      <c r="AE156" s="390"/>
      <c r="AF156" s="381"/>
    </row>
    <row r="157" spans="1:32" s="410" customFormat="1" x14ac:dyDescent="0.2">
      <c r="A157" s="377">
        <v>24</v>
      </c>
      <c r="B157" s="445">
        <v>1</v>
      </c>
      <c r="C157" s="455">
        <v>1</v>
      </c>
      <c r="D157" s="591"/>
      <c r="E157" s="496"/>
      <c r="F157" s="377"/>
      <c r="G157" s="563">
        <f>D157+0.56</f>
        <v>0.56000000000000005</v>
      </c>
      <c r="H157" s="456"/>
      <c r="I157" s="466"/>
      <c r="J157" s="465"/>
      <c r="K157" s="445"/>
      <c r="L157" s="445"/>
      <c r="M157" s="459"/>
      <c r="N157" s="459"/>
      <c r="O157" s="445"/>
      <c r="R157" s="445"/>
      <c r="S157" s="445"/>
      <c r="T157" s="445"/>
      <c r="U157" s="445"/>
      <c r="V157" s="445"/>
      <c r="W157" s="445"/>
      <c r="X157" s="445"/>
      <c r="Y157" s="377"/>
      <c r="Z157" s="377"/>
      <c r="AA157" s="377"/>
      <c r="AB157" s="377"/>
      <c r="AC157" s="482"/>
      <c r="AD157" s="391"/>
      <c r="AE157" s="391"/>
      <c r="AF157" s="381"/>
    </row>
    <row r="158" spans="1:32" s="410" customFormat="1" x14ac:dyDescent="0.2">
      <c r="A158" s="377"/>
      <c r="B158" s="377"/>
      <c r="C158" s="377"/>
      <c r="D158" s="587"/>
      <c r="E158" s="498"/>
      <c r="F158" s="377"/>
      <c r="G158" s="377"/>
      <c r="H158" s="400"/>
      <c r="I158" s="377"/>
      <c r="J158" s="377"/>
      <c r="K158" s="377"/>
      <c r="L158" s="377"/>
      <c r="M158" s="392"/>
      <c r="N158" s="392"/>
      <c r="O158" s="377"/>
      <c r="R158" s="377"/>
      <c r="S158" s="377"/>
      <c r="T158" s="377"/>
      <c r="U158" s="377"/>
      <c r="V158" s="377"/>
      <c r="W158" s="377"/>
      <c r="X158" s="377"/>
      <c r="Y158" s="377"/>
      <c r="Z158" s="377"/>
      <c r="AA158" s="377"/>
      <c r="AB158" s="377"/>
      <c r="AC158" s="482"/>
      <c r="AD158" s="391"/>
      <c r="AE158" s="391"/>
      <c r="AF158" s="381"/>
    </row>
    <row r="159" spans="1:32" s="410" customFormat="1" x14ac:dyDescent="0.2">
      <c r="A159" s="377"/>
      <c r="B159" s="377"/>
      <c r="C159" s="377"/>
      <c r="D159" s="377"/>
      <c r="E159" s="377"/>
      <c r="F159" s="377"/>
      <c r="G159" s="377"/>
      <c r="H159" s="377"/>
      <c r="I159" s="377"/>
      <c r="J159" s="377"/>
      <c r="K159" s="377"/>
      <c r="L159" s="377"/>
      <c r="M159" s="392"/>
      <c r="N159" s="392"/>
      <c r="O159" s="377"/>
      <c r="R159" s="377"/>
      <c r="S159" s="377"/>
      <c r="T159" s="377"/>
      <c r="U159" s="377"/>
      <c r="V159" s="377"/>
      <c r="W159" s="377"/>
      <c r="X159" s="377"/>
      <c r="Y159" s="377"/>
      <c r="Z159" s="377"/>
      <c r="AA159" s="377"/>
      <c r="AB159" s="377"/>
      <c r="AC159" s="482"/>
      <c r="AD159" s="391"/>
      <c r="AE159" s="391"/>
      <c r="AF159" s="386"/>
    </row>
    <row r="160" spans="1:32" s="410" customFormat="1" x14ac:dyDescent="0.2">
      <c r="A160" s="377"/>
      <c r="B160" s="377"/>
      <c r="C160" s="377"/>
      <c r="D160" s="377"/>
      <c r="E160" s="377"/>
      <c r="F160" s="377"/>
      <c r="G160" s="377"/>
      <c r="H160" s="377"/>
      <c r="I160" s="377"/>
      <c r="J160" s="377"/>
      <c r="K160" s="377"/>
      <c r="L160" s="377"/>
      <c r="M160" s="392"/>
      <c r="N160" s="392"/>
      <c r="O160" s="377"/>
      <c r="R160" s="377"/>
      <c r="S160" s="377"/>
      <c r="T160" s="377"/>
      <c r="U160" s="377"/>
      <c r="V160" s="377"/>
      <c r="W160" s="377"/>
      <c r="X160" s="377"/>
      <c r="Y160" s="377"/>
      <c r="Z160" s="377"/>
      <c r="AA160" s="377"/>
      <c r="AB160" s="377"/>
      <c r="AC160" s="482"/>
      <c r="AD160" s="391"/>
      <c r="AE160" s="391"/>
      <c r="AF160" s="388"/>
    </row>
    <row r="161" spans="1:32" s="410" customFormat="1" x14ac:dyDescent="0.2">
      <c r="A161" s="377"/>
      <c r="B161" s="377"/>
      <c r="C161" s="377"/>
      <c r="D161" s="377"/>
      <c r="E161" s="377"/>
      <c r="F161" s="377"/>
      <c r="G161" s="377"/>
      <c r="H161" s="377"/>
      <c r="I161" s="377"/>
      <c r="J161" s="377"/>
      <c r="K161" s="377"/>
      <c r="L161" s="377"/>
      <c r="M161" s="392"/>
      <c r="N161" s="392"/>
      <c r="O161" s="377"/>
      <c r="R161" s="377"/>
      <c r="S161" s="377"/>
      <c r="T161" s="377"/>
      <c r="U161" s="377"/>
      <c r="V161" s="377"/>
      <c r="W161" s="377"/>
      <c r="X161" s="377"/>
      <c r="Y161" s="377"/>
      <c r="Z161" s="377"/>
      <c r="AA161" s="377"/>
      <c r="AB161" s="377"/>
      <c r="AC161" s="482"/>
      <c r="AD161" s="391"/>
      <c r="AE161" s="391"/>
      <c r="AF161" s="377"/>
    </row>
    <row r="162" spans="1:32" s="410" customFormat="1" x14ac:dyDescent="0.2">
      <c r="A162" s="377"/>
      <c r="B162" s="377"/>
      <c r="C162" s="377"/>
      <c r="D162" s="377"/>
      <c r="E162" s="377"/>
      <c r="F162" s="377"/>
      <c r="G162" s="377"/>
      <c r="H162" s="377"/>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9"/>
    </row>
    <row r="163" spans="1:32" s="410" customFormat="1" x14ac:dyDescent="0.2">
      <c r="A163" s="377"/>
      <c r="B163" s="377"/>
      <c r="C163" s="377"/>
      <c r="D163" s="377"/>
      <c r="E163" s="377"/>
      <c r="F163" s="377"/>
      <c r="G163" s="377"/>
      <c r="H163" s="377"/>
      <c r="I163" s="377"/>
      <c r="L163" s="377"/>
      <c r="M163" s="392"/>
      <c r="N163" s="392"/>
      <c r="O163" s="377"/>
      <c r="R163" s="377"/>
      <c r="S163" s="377"/>
      <c r="T163" s="377"/>
      <c r="U163" s="377"/>
      <c r="V163" s="377"/>
      <c r="W163" s="377"/>
      <c r="X163" s="377"/>
      <c r="Y163" s="377"/>
      <c r="Z163" s="377"/>
      <c r="AA163" s="377"/>
      <c r="AB163" s="377"/>
      <c r="AC163" s="482"/>
      <c r="AD163" s="391"/>
      <c r="AE163" s="391"/>
      <c r="AF163" s="389"/>
    </row>
    <row r="164" spans="1:32" s="410" customFormat="1" x14ac:dyDescent="0.2">
      <c r="A164" s="377"/>
      <c r="B164" s="377"/>
      <c r="C164" s="377"/>
      <c r="D164" s="377"/>
      <c r="E164" s="377"/>
      <c r="F164" s="377"/>
      <c r="G164" s="377"/>
      <c r="H164" s="377"/>
      <c r="I164" s="377"/>
      <c r="L164" s="377"/>
      <c r="M164" s="392"/>
      <c r="N164" s="392"/>
      <c r="O164" s="377"/>
      <c r="R164" s="377"/>
      <c r="S164" s="377"/>
      <c r="T164" s="377"/>
      <c r="U164" s="377"/>
      <c r="V164" s="377"/>
      <c r="W164" s="377"/>
      <c r="X164" s="377"/>
      <c r="Y164" s="377"/>
      <c r="Z164" s="377"/>
      <c r="AA164" s="377"/>
      <c r="AB164" s="377"/>
      <c r="AC164" s="482"/>
      <c r="AD164" s="394"/>
      <c r="AE164" s="394"/>
      <c r="AF164" s="377"/>
    </row>
    <row r="165" spans="1:32" s="410" customFormat="1" x14ac:dyDescent="0.2">
      <c r="A165" s="377"/>
      <c r="B165" s="377"/>
      <c r="C165" s="377"/>
      <c r="D165" s="377"/>
      <c r="E165" s="377"/>
      <c r="F165" s="377"/>
      <c r="G165" s="377"/>
      <c r="H165" s="377"/>
      <c r="I165" s="377"/>
      <c r="L165" s="377"/>
      <c r="M165" s="392"/>
      <c r="N165" s="392"/>
      <c r="O165" s="377"/>
      <c r="R165" s="377"/>
      <c r="S165" s="377"/>
      <c r="T165" s="377"/>
      <c r="U165" s="377"/>
      <c r="V165" s="377"/>
      <c r="W165" s="377"/>
      <c r="X165" s="377"/>
      <c r="Y165" s="377"/>
      <c r="Z165" s="377"/>
      <c r="AA165" s="377"/>
      <c r="AB165" s="377"/>
      <c r="AC165" s="482"/>
      <c r="AD165" s="395"/>
      <c r="AE165" s="395"/>
      <c r="AF165" s="390"/>
    </row>
    <row r="166" spans="1:32" s="410" customFormat="1" x14ac:dyDescent="0.2">
      <c r="A166" s="377"/>
      <c r="B166" s="377"/>
      <c r="C166" s="377"/>
      <c r="D166" s="377"/>
      <c r="E166" s="377"/>
      <c r="F166" s="377"/>
      <c r="G166" s="377"/>
      <c r="H166" s="377"/>
      <c r="I166" s="377"/>
      <c r="L166" s="377"/>
      <c r="M166" s="392"/>
      <c r="N166" s="392"/>
      <c r="O166" s="377"/>
      <c r="R166" s="377"/>
      <c r="S166" s="377"/>
      <c r="T166" s="377"/>
      <c r="U166" s="377"/>
      <c r="V166" s="377"/>
      <c r="W166" s="377"/>
      <c r="X166" s="377"/>
      <c r="Y166" s="377"/>
      <c r="Z166" s="377"/>
      <c r="AA166" s="377"/>
      <c r="AB166" s="377"/>
      <c r="AC166" s="482"/>
      <c r="AD166" s="395"/>
      <c r="AE166" s="395"/>
      <c r="AF166" s="391"/>
    </row>
    <row r="167" spans="1:32" s="410" customFormat="1" x14ac:dyDescent="0.2">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5"/>
      <c r="AE167" s="395"/>
      <c r="AF167" s="391"/>
    </row>
    <row r="168" spans="1:32" s="410" customFormat="1" x14ac:dyDescent="0.2">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5"/>
      <c r="AE168" s="395"/>
      <c r="AF168" s="391"/>
    </row>
    <row r="169" spans="1:32" s="410" customFormat="1" x14ac:dyDescent="0.2">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8"/>
      <c r="AF169" s="391"/>
    </row>
    <row r="170" spans="1:32" s="410" customFormat="1" x14ac:dyDescent="0.2">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8"/>
      <c r="AF170" s="391"/>
    </row>
    <row r="171" spans="1:32" s="410" customFormat="1" x14ac:dyDescent="0.2">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8"/>
      <c r="AF171" s="391"/>
    </row>
    <row r="172" spans="1:32" s="410" customFormat="1" x14ac:dyDescent="0.2">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8"/>
      <c r="AF172" s="391"/>
    </row>
    <row r="173" spans="1:32" s="410" customFormat="1" x14ac:dyDescent="0.2">
      <c r="A173" s="377"/>
      <c r="B173" s="377"/>
      <c r="C173" s="377"/>
      <c r="D173" s="377"/>
      <c r="E173" s="377"/>
      <c r="F173" s="377"/>
      <c r="G173" s="377"/>
      <c r="H173" s="377"/>
      <c r="I173" s="377"/>
      <c r="L173" s="377"/>
      <c r="M173" s="392"/>
      <c r="N173" s="392"/>
      <c r="O173" s="377"/>
      <c r="P173" s="377"/>
      <c r="Q173" s="377"/>
      <c r="R173" s="377"/>
      <c r="S173" s="377"/>
      <c r="T173" s="377"/>
      <c r="U173" s="377"/>
      <c r="V173" s="377"/>
      <c r="W173" s="377"/>
      <c r="X173" s="377"/>
      <c r="Y173" s="377"/>
      <c r="Z173" s="377"/>
      <c r="AA173" s="377"/>
      <c r="AB173" s="377"/>
      <c r="AC173" s="482"/>
      <c r="AD173" s="395"/>
      <c r="AE173" s="398"/>
      <c r="AF173" s="393"/>
    </row>
    <row r="174" spans="1:32" s="410" customFormat="1" x14ac:dyDescent="0.2">
      <c r="A174" s="377"/>
      <c r="B174" s="377"/>
      <c r="C174" s="377"/>
      <c r="D174" s="377"/>
      <c r="E174" s="377"/>
      <c r="F174" s="377"/>
      <c r="G174" s="377"/>
      <c r="H174" s="377"/>
      <c r="I174" s="377"/>
      <c r="L174" s="377"/>
      <c r="M174" s="392"/>
      <c r="N174" s="392"/>
      <c r="O174" s="377"/>
      <c r="P174" s="377"/>
      <c r="Q174" s="377"/>
      <c r="R174" s="377"/>
      <c r="S174" s="377"/>
      <c r="T174" s="377"/>
      <c r="U174" s="377"/>
      <c r="V174" s="377"/>
      <c r="W174" s="377"/>
      <c r="X174" s="377"/>
      <c r="Y174" s="377"/>
      <c r="Z174" s="377"/>
      <c r="AA174" s="377"/>
      <c r="AB174" s="377"/>
      <c r="AC174" s="482"/>
      <c r="AD174" s="398"/>
      <c r="AE174" s="398"/>
      <c r="AF174" s="395"/>
    </row>
    <row r="175" spans="1:32" s="410" customFormat="1" x14ac:dyDescent="0.2">
      <c r="A175" s="377"/>
      <c r="B175" s="377"/>
      <c r="C175" s="377"/>
      <c r="D175" s="377"/>
      <c r="E175" s="377"/>
      <c r="F175" s="377"/>
      <c r="G175" s="377"/>
      <c r="H175" s="377"/>
      <c r="I175" s="377"/>
      <c r="L175" s="377"/>
      <c r="M175" s="392"/>
      <c r="N175" s="392"/>
      <c r="O175" s="377"/>
      <c r="P175" s="377"/>
      <c r="Q175" s="377"/>
      <c r="R175" s="377"/>
      <c r="S175" s="377"/>
      <c r="T175" s="377"/>
      <c r="U175" s="377"/>
      <c r="V175" s="377"/>
      <c r="W175" s="377"/>
      <c r="X175" s="377"/>
      <c r="Y175" s="377"/>
      <c r="Z175" s="377"/>
      <c r="AA175" s="377"/>
      <c r="AB175" s="377"/>
      <c r="AC175" s="482"/>
      <c r="AD175" s="398"/>
      <c r="AE175" s="398"/>
      <c r="AF175" s="395"/>
    </row>
    <row r="176" spans="1:32" s="410" customFormat="1" x14ac:dyDescent="0.2">
      <c r="A176" s="377"/>
      <c r="B176" s="377"/>
      <c r="C176" s="377"/>
      <c r="D176" s="377"/>
      <c r="E176" s="377"/>
      <c r="F176" s="377"/>
      <c r="G176" s="377"/>
      <c r="H176" s="377"/>
      <c r="I176" s="377"/>
      <c r="L176" s="377"/>
      <c r="M176" s="392"/>
      <c r="N176" s="392"/>
      <c r="O176" s="377"/>
      <c r="P176" s="377"/>
      <c r="Q176" s="377"/>
      <c r="R176" s="377"/>
      <c r="S176" s="377"/>
      <c r="T176" s="377"/>
      <c r="U176" s="377"/>
      <c r="V176" s="377"/>
      <c r="W176" s="377"/>
      <c r="X176" s="377"/>
      <c r="Y176" s="377"/>
      <c r="Z176" s="377"/>
      <c r="AA176" s="377"/>
      <c r="AB176" s="377"/>
      <c r="AC176" s="482"/>
      <c r="AD176" s="398"/>
      <c r="AE176" s="398"/>
      <c r="AF176" s="395"/>
    </row>
    <row r="177" spans="1:32" s="410" customFormat="1" x14ac:dyDescent="0.2">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8"/>
      <c r="AE177" s="398"/>
      <c r="AF177" s="395"/>
    </row>
    <row r="178" spans="1:32" s="410" customFormat="1" x14ac:dyDescent="0.2">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6"/>
    </row>
    <row r="179" spans="1:32" s="410" customFormat="1" x14ac:dyDescent="0.2">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6"/>
      <c r="AE179" s="397"/>
      <c r="AF179" s="391"/>
    </row>
    <row r="180" spans="1:32" s="410" customFormat="1" x14ac:dyDescent="0.2">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6"/>
      <c r="AE180" s="396"/>
      <c r="AF180" s="393"/>
    </row>
    <row r="181" spans="1:32" s="410" customFormat="1" x14ac:dyDescent="0.2">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6"/>
      <c r="AE181" s="399"/>
      <c r="AF181" s="395"/>
    </row>
    <row r="182" spans="1:32" s="410" customFormat="1" x14ac:dyDescent="0.2">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6"/>
      <c r="AE182" s="397"/>
      <c r="AF182" s="395"/>
    </row>
    <row r="183" spans="1:32" s="410" customFormat="1" x14ac:dyDescent="0.2">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7"/>
      <c r="AF183" s="395"/>
    </row>
    <row r="184" spans="1:32" s="410" customFormat="1" x14ac:dyDescent="0.2">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7"/>
      <c r="AF184" s="395"/>
    </row>
    <row r="185" spans="1:32" s="410" customFormat="1" ht="12.75" customHeigh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6"/>
      <c r="AF185" s="395"/>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9"/>
      <c r="AF186" s="395"/>
    </row>
    <row r="187" spans="1:32" s="410" customFormat="1" x14ac:dyDescent="0.2">
      <c r="A187" s="377"/>
      <c r="B187" s="377"/>
      <c r="C187" s="377"/>
      <c r="D187" s="377"/>
      <c r="E187" s="377"/>
      <c r="F187" s="377"/>
      <c r="G187" s="377"/>
      <c r="H187" s="377"/>
      <c r="I187" s="377"/>
      <c r="J187" s="377"/>
      <c r="K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x14ac:dyDescent="0.2">
      <c r="A188" s="377"/>
      <c r="B188" s="377"/>
      <c r="C188" s="377"/>
      <c r="D188" s="377"/>
      <c r="E188" s="377"/>
      <c r="F188" s="377"/>
      <c r="G188" s="377"/>
      <c r="H188" s="377"/>
      <c r="I188" s="377"/>
      <c r="J188" s="377"/>
      <c r="K188" s="377"/>
      <c r="L188" s="377"/>
      <c r="M188" s="392"/>
      <c r="N188" s="392"/>
      <c r="O188" s="377"/>
      <c r="P188" s="377"/>
      <c r="Q188" s="377"/>
      <c r="R188" s="377"/>
      <c r="S188" s="377"/>
      <c r="T188" s="377"/>
      <c r="U188" s="377"/>
      <c r="V188" s="377"/>
      <c r="W188" s="377"/>
      <c r="X188" s="377"/>
      <c r="Y188" s="377"/>
      <c r="Z188" s="377"/>
      <c r="AA188" s="377"/>
      <c r="AB188" s="377"/>
      <c r="AC188" s="482"/>
      <c r="AD188" s="398"/>
      <c r="AE188" s="396"/>
      <c r="AF188" s="395"/>
    </row>
    <row r="189" spans="1:32" s="410" customFormat="1" x14ac:dyDescent="0.2">
      <c r="A189" s="377"/>
      <c r="B189" s="377"/>
      <c r="C189" s="377"/>
      <c r="D189" s="377"/>
      <c r="E189" s="377"/>
      <c r="F189" s="377"/>
      <c r="G189" s="377"/>
      <c r="H189" s="377"/>
      <c r="I189" s="377"/>
      <c r="J189" s="377"/>
      <c r="K189" s="377"/>
      <c r="L189" s="377"/>
      <c r="M189" s="392"/>
      <c r="N189" s="392"/>
      <c r="O189" s="377"/>
      <c r="P189" s="377"/>
      <c r="Q189" s="377"/>
      <c r="R189" s="377"/>
      <c r="S189" s="377"/>
      <c r="T189" s="377"/>
      <c r="U189" s="377"/>
      <c r="V189" s="377"/>
      <c r="W189" s="377"/>
      <c r="X189" s="377"/>
      <c r="Y189" s="377"/>
      <c r="Z189" s="377"/>
      <c r="AA189" s="377"/>
      <c r="AB189" s="377"/>
      <c r="AC189" s="482"/>
      <c r="AD189" s="398"/>
      <c r="AE189" s="396"/>
      <c r="AF189" s="395"/>
    </row>
    <row r="190" spans="1:32" s="410" customFormat="1" x14ac:dyDescent="0.2">
      <c r="A190" s="377"/>
      <c r="B190" s="377"/>
      <c r="C190" s="377"/>
      <c r="D190" s="377"/>
      <c r="E190" s="377"/>
      <c r="F190" s="377"/>
      <c r="G190" s="377"/>
      <c r="H190" s="377"/>
      <c r="I190" s="377"/>
      <c r="J190" s="377"/>
      <c r="K190" s="377"/>
      <c r="L190" s="377"/>
      <c r="M190" s="392"/>
      <c r="N190" s="392"/>
      <c r="O190" s="377"/>
      <c r="P190" s="377"/>
      <c r="Q190" s="377"/>
      <c r="R190" s="377"/>
      <c r="S190" s="377"/>
      <c r="T190" s="377"/>
      <c r="U190" s="377"/>
      <c r="V190" s="377"/>
      <c r="W190" s="377"/>
      <c r="X190" s="377"/>
      <c r="Y190" s="377"/>
      <c r="Z190" s="377"/>
      <c r="AA190" s="377"/>
      <c r="AB190" s="377"/>
      <c r="AC190" s="482"/>
      <c r="AD190" s="398"/>
      <c r="AE190" s="396"/>
      <c r="AF190" s="398"/>
    </row>
    <row r="191" spans="1:32" s="410" customFormat="1" x14ac:dyDescent="0.2">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77"/>
      <c r="AE191" s="381"/>
      <c r="AF191" s="398"/>
    </row>
    <row r="192" spans="1:32" s="410" customFormat="1" x14ac:dyDescent="0.2">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77"/>
      <c r="AE192" s="381"/>
      <c r="AF192" s="398"/>
    </row>
    <row r="193" spans="1:32" s="410" customFormat="1" x14ac:dyDescent="0.2">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77"/>
      <c r="AE193" s="381"/>
      <c r="AF193" s="398"/>
    </row>
    <row r="194" spans="1:32" s="410" customFormat="1" x14ac:dyDescent="0.2">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77"/>
      <c r="AE194" s="381"/>
      <c r="AF194" s="398"/>
    </row>
    <row r="195" spans="1:32" s="410" customFormat="1" x14ac:dyDescent="0.2">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ht="12" customHeight="1" x14ac:dyDescent="0.2">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ht="12" customHeight="1" x14ac:dyDescent="0.2">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ht="12" customHeight="1" x14ac:dyDescent="0.2">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77"/>
    </row>
    <row r="199" spans="1:32" s="410" customFormat="1" ht="12" customHeigh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77"/>
    </row>
    <row r="200" spans="1:32" s="410" customFormat="1" ht="12" customHeigh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77"/>
    </row>
    <row r="201" spans="1:32" s="410" customFormat="1" ht="12" customHeigh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77"/>
    </row>
    <row r="202" spans="1:32" s="410" customFormat="1" ht="12" customHeigh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360" customForma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c r="AG215" s="410"/>
    </row>
    <row r="216" spans="1:33" s="360" customForma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c r="AG216" s="410"/>
    </row>
    <row r="217" spans="1:33" s="360" customForma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c r="AG217" s="410"/>
    </row>
    <row r="218" spans="1:33" s="360" customForma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c r="AG218" s="410"/>
    </row>
    <row r="219" spans="1:33" s="360" customForma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2" s="360" customForma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2" s="360" customForma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2"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2"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2"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2"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2"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2"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2"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2"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2"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2"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2"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2"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2"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2"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c r="AH242" s="405"/>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c r="AG243" s="411"/>
      <c r="AH243" s="405"/>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c r="AG244" s="411"/>
      <c r="AH244" s="40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G245" s="411"/>
      <c r="AH245" s="405"/>
    </row>
    <row r="246" spans="1:34" s="360" customFormat="1" ht="14.25" customHeigh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1"/>
      <c r="AH246" s="404"/>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H247" s="404"/>
    </row>
    <row r="248" spans="1:34" s="412" customFormat="1" ht="12" customHeigh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360"/>
      <c r="AH248" s="405"/>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H249" s="405"/>
    </row>
    <row r="250" spans="1:34" s="360" customFormat="1" ht="17.25" customHeigh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H250" s="405"/>
    </row>
    <row r="251" spans="1:34"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H251" s="395"/>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G252" s="404"/>
      <c r="AH252" s="376"/>
    </row>
    <row r="253" spans="1:34"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G253" s="404"/>
      <c r="AH253" s="376"/>
    </row>
    <row r="254" spans="1:34" s="360" customFormat="1" ht="13.5" customHeigh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G254" s="402"/>
      <c r="AH254" s="377"/>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375"/>
      <c r="AH255" s="377"/>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375"/>
      <c r="AH256" s="377"/>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375"/>
      <c r="AH257" s="37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382"/>
      <c r="AH258" s="384"/>
    </row>
    <row r="259" spans="1:34" s="360" customFormat="1" ht="15.75" customHeigh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82"/>
      <c r="AH259" s="388"/>
    </row>
    <row r="260" spans="1:34" s="360" customFormat="1" ht="15.75" customHeigh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82"/>
      <c r="AH260" s="377"/>
    </row>
    <row r="261" spans="1:34" s="360" customFormat="1" ht="12.75" customHeigh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87"/>
      <c r="AH261" s="389"/>
    </row>
    <row r="262" spans="1:34" s="360" customForma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8"/>
      <c r="AH262" s="389"/>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77"/>
      <c r="AH263" s="377"/>
    </row>
    <row r="264" spans="1:34" s="360" customForma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9"/>
      <c r="AH264" s="390"/>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9"/>
      <c r="AH265" s="391"/>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7"/>
      <c r="AH266" s="391"/>
    </row>
    <row r="267" spans="1:34" s="360" customFormat="1" ht="14.25" customHeigh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90"/>
      <c r="AH267" s="391"/>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91"/>
      <c r="AH268" s="391"/>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91"/>
      <c r="AH269" s="391"/>
    </row>
    <row r="270" spans="1:34" s="383"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91"/>
      <c r="AH270" s="391"/>
    </row>
    <row r="271" spans="1:34" s="383" customFormat="1" ht="12" customHeigh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1"/>
    </row>
    <row r="272" spans="1:34" s="383"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row>
    <row r="273" spans="1:33" s="384" customFormat="1" ht="11.25" customHeigh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row>
    <row r="274" spans="1:33" s="388" customForma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row>
    <row r="275" spans="1:33" x14ac:dyDescent="0.2">
      <c r="AG275" s="393"/>
    </row>
    <row r="276" spans="1:33" s="389"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5"/>
    </row>
    <row r="277" spans="1:33" s="389"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5"/>
    </row>
    <row r="278" spans="1:33" x14ac:dyDescent="0.2">
      <c r="AG278" s="395"/>
    </row>
    <row r="279" spans="1:33" x14ac:dyDescent="0.2">
      <c r="AG279" s="395"/>
    </row>
    <row r="280" spans="1:33" s="392" customFormat="1" x14ac:dyDescent="0.2">
      <c r="A280" s="377"/>
      <c r="B280" s="377"/>
      <c r="C280" s="377"/>
      <c r="D280" s="377"/>
      <c r="E280" s="377"/>
      <c r="F280" s="377"/>
      <c r="G280" s="377"/>
      <c r="H280" s="377"/>
      <c r="I280" s="377"/>
      <c r="J280" s="377"/>
      <c r="K280" s="377"/>
      <c r="L280" s="377"/>
      <c r="O280" s="377"/>
      <c r="P280" s="377"/>
      <c r="Q280" s="377"/>
      <c r="R280" s="377"/>
      <c r="S280" s="377"/>
      <c r="T280" s="377"/>
      <c r="U280" s="377"/>
      <c r="V280" s="377"/>
      <c r="W280" s="377"/>
      <c r="X280" s="377"/>
      <c r="Y280" s="377"/>
      <c r="Z280" s="377"/>
      <c r="AA280" s="377"/>
      <c r="AB280" s="377"/>
      <c r="AC280" s="482"/>
      <c r="AD280" s="377"/>
      <c r="AE280" s="381"/>
      <c r="AF280" s="377"/>
      <c r="AG280" s="397"/>
    </row>
    <row r="281" spans="1:33" s="392" customFormat="1" x14ac:dyDescent="0.2">
      <c r="A281" s="377"/>
      <c r="B281" s="377"/>
      <c r="C281" s="377"/>
      <c r="D281" s="377"/>
      <c r="E281" s="377"/>
      <c r="F281" s="377"/>
      <c r="G281" s="377"/>
      <c r="H281" s="377"/>
      <c r="I281" s="377"/>
      <c r="J281" s="377"/>
      <c r="K281" s="377"/>
      <c r="L281" s="377"/>
      <c r="O281" s="377"/>
      <c r="P281" s="377"/>
      <c r="Q281" s="377"/>
      <c r="R281" s="377"/>
      <c r="S281" s="377"/>
      <c r="T281" s="377"/>
      <c r="U281" s="377"/>
      <c r="V281" s="377"/>
      <c r="W281" s="377"/>
      <c r="X281" s="377"/>
      <c r="Y281" s="377"/>
      <c r="Z281" s="377"/>
      <c r="AA281" s="377"/>
      <c r="AB281" s="377"/>
      <c r="AC281" s="482"/>
      <c r="AD281" s="377"/>
      <c r="AE281" s="381"/>
      <c r="AF281" s="377"/>
      <c r="AG281" s="383"/>
    </row>
    <row r="282" spans="1:33" s="392" customFormat="1" x14ac:dyDescent="0.2">
      <c r="A282" s="377"/>
      <c r="B282" s="377"/>
      <c r="C282" s="377"/>
      <c r="D282" s="377"/>
      <c r="E282" s="377"/>
      <c r="F282" s="377"/>
      <c r="G282" s="377"/>
      <c r="H282" s="377"/>
      <c r="I282" s="377"/>
      <c r="J282" s="377"/>
      <c r="K282" s="377"/>
      <c r="L282" s="377"/>
      <c r="O282" s="377"/>
      <c r="P282" s="377"/>
      <c r="Q282" s="377"/>
      <c r="R282" s="377"/>
      <c r="S282" s="377"/>
      <c r="T282" s="377"/>
      <c r="U282" s="377"/>
      <c r="V282" s="377"/>
      <c r="W282" s="377"/>
      <c r="X282" s="377"/>
      <c r="Y282" s="377"/>
      <c r="Z282" s="377"/>
      <c r="AA282" s="377"/>
      <c r="AB282" s="377"/>
      <c r="AC282" s="482"/>
      <c r="AD282" s="377"/>
      <c r="AE282" s="381"/>
      <c r="AF282" s="377"/>
      <c r="AG282" s="383"/>
    </row>
    <row r="283" spans="1:33" s="392" customFormat="1" x14ac:dyDescent="0.2">
      <c r="A283" s="377"/>
      <c r="B283" s="377"/>
      <c r="C283" s="377"/>
      <c r="D283" s="377"/>
      <c r="E283" s="377"/>
      <c r="F283" s="377"/>
      <c r="G283" s="377"/>
      <c r="H283" s="377"/>
      <c r="I283" s="377"/>
      <c r="J283" s="377"/>
      <c r="K283" s="377"/>
      <c r="L283" s="377"/>
      <c r="O283" s="377"/>
      <c r="P283" s="377"/>
      <c r="Q283" s="377"/>
      <c r="R283" s="377"/>
      <c r="S283" s="377"/>
      <c r="T283" s="377"/>
      <c r="U283" s="377"/>
      <c r="V283" s="377"/>
      <c r="W283" s="377"/>
      <c r="X283" s="377"/>
      <c r="Y283" s="377"/>
      <c r="Z283" s="377"/>
      <c r="AA283" s="377"/>
      <c r="AB283" s="377"/>
      <c r="AC283" s="482"/>
      <c r="AD283" s="377"/>
      <c r="AE283" s="381"/>
      <c r="AF283" s="377"/>
      <c r="AG283" s="384"/>
    </row>
    <row r="284" spans="1:33" s="392" customFormat="1" x14ac:dyDescent="0.2">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88"/>
    </row>
    <row r="285" spans="1:33" s="392" customFormat="1" x14ac:dyDescent="0.2">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77"/>
    </row>
    <row r="286" spans="1:33" s="392" customFormat="1" x14ac:dyDescent="0.2">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9"/>
    </row>
    <row r="287" spans="1:33" s="392" customFormat="1" x14ac:dyDescent="0.2">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9"/>
    </row>
    <row r="289" spans="1:33" s="390" customFormat="1" x14ac:dyDescent="0.2">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77"/>
    </row>
    <row r="290" spans="1:33" s="391" customFormat="1" x14ac:dyDescent="0.2">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2"/>
    </row>
    <row r="291" spans="1:33" s="391" customFormat="1" x14ac:dyDescent="0.2">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92"/>
    </row>
    <row r="292" spans="1:33" s="391" customFormat="1" x14ac:dyDescent="0.2">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92"/>
    </row>
    <row r="293" spans="1:33" s="391" customForma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2"/>
    </row>
    <row r="294" spans="1:33" s="391"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4" customForma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5" customFormat="1" ht="12.75" customHeight="1" x14ac:dyDescent="0.2">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77"/>
    </row>
    <row r="299" spans="1:33" s="395" customFormat="1" ht="12.75" customHeight="1" x14ac:dyDescent="0.2">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0"/>
    </row>
    <row r="300" spans="1:33" s="395" customFormat="1" ht="12.75" customHeight="1" x14ac:dyDescent="0.2">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1"/>
    </row>
    <row r="301" spans="1:33" s="395" customFormat="1" ht="12.75" customHeigh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91"/>
    </row>
    <row r="302" spans="1:33" s="395" customFormat="1" ht="12.75" customHeigh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1"/>
    </row>
    <row r="303" spans="1:33" s="395" customFormat="1" ht="12.75" customHeigh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1"/>
    </row>
    <row r="304" spans="1:33" s="395" customFormat="1" ht="12.75" customHeigh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8" customForma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4"/>
    </row>
    <row r="308" spans="1:33" s="398" customForma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5"/>
    </row>
    <row r="309" spans="1:33" s="398" customForma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5"/>
    </row>
    <row r="310" spans="1:33" s="398"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5"/>
    </row>
    <row r="311" spans="1:33" s="398"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5"/>
    </row>
    <row r="312" spans="1:33" s="398" customForma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x14ac:dyDescent="0.2">
      <c r="AG315" s="395"/>
    </row>
    <row r="316" spans="1:33" x14ac:dyDescent="0.2">
      <c r="AG316" s="395"/>
    </row>
    <row r="317" spans="1:33" x14ac:dyDescent="0.2">
      <c r="AG317" s="398"/>
    </row>
    <row r="318" spans="1:33" x14ac:dyDescent="0.2">
      <c r="AG318" s="398"/>
    </row>
    <row r="319" spans="1:33" x14ac:dyDescent="0.2">
      <c r="AG319" s="398"/>
    </row>
    <row r="320" spans="1:33" x14ac:dyDescent="0.2">
      <c r="AG320" s="398"/>
    </row>
    <row r="321" spans="33:33" x14ac:dyDescent="0.2">
      <c r="AG321" s="398"/>
    </row>
    <row r="322" spans="33:33" x14ac:dyDescent="0.2">
      <c r="AG322" s="398"/>
    </row>
    <row r="323" spans="33:33" x14ac:dyDescent="0.2">
      <c r="AG323" s="398"/>
    </row>
    <row r="324" spans="33:33" x14ac:dyDescent="0.2">
      <c r="AG324"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98</xdr:row>
                    <xdr:rowOff>171450</xdr:rowOff>
                  </from>
                  <to>
                    <xdr:col>12</xdr:col>
                    <xdr:colOff>95250</xdr:colOff>
                    <xdr:row>99</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12400.982169557417</v>
      </c>
      <c r="F12" s="33">
        <f>(D12*$C$6)+(C12*$C$7)</f>
        <v>2.09</v>
      </c>
      <c r="G12" s="32">
        <f ca="1">E12*F12</f>
        <v>25918.052734375</v>
      </c>
      <c r="H12" s="33"/>
    </row>
    <row r="13" spans="1:8" x14ac:dyDescent="0.2">
      <c r="B13" s="238" t="s">
        <v>56</v>
      </c>
      <c r="C13" s="239">
        <v>1</v>
      </c>
      <c r="D13" s="239">
        <v>0</v>
      </c>
      <c r="E13" s="32">
        <f ca="1">-INDEX(Economics!$A$34:$D$45,MATCH(Fuel!B13,Economics!$A$34:$A$45,0),4)/Fuel!F13</f>
        <v>7883.2236842105267</v>
      </c>
      <c r="F13" s="33">
        <f>(D13*$C$6)+(C13*$C$7)</f>
        <v>2.09</v>
      </c>
      <c r="G13" s="32">
        <f ca="1">E13*F13</f>
        <v>16475.9375</v>
      </c>
      <c r="H13" s="33"/>
    </row>
    <row r="14" spans="1:8" x14ac:dyDescent="0.2">
      <c r="B14" s="238" t="s">
        <v>55</v>
      </c>
      <c r="C14" s="239">
        <v>1</v>
      </c>
      <c r="D14" s="239">
        <v>0</v>
      </c>
      <c r="E14" s="32">
        <f ca="1">-INDEX(Economics!$A$34:$D$45,MATCH(Fuel!B14,Economics!$A$34:$A$45,0),4)/Fuel!F14</f>
        <v>10878.402549342107</v>
      </c>
      <c r="F14" s="33">
        <f>(D14*$C$6)+(C14*$C$7)</f>
        <v>2.09</v>
      </c>
      <c r="G14" s="32">
        <f ca="1">E14*F14</f>
        <v>22735.861328125</v>
      </c>
      <c r="H14" s="33"/>
    </row>
    <row r="15" spans="1:8" x14ac:dyDescent="0.2">
      <c r="B15" s="240" t="s">
        <v>18</v>
      </c>
      <c r="E15" s="34">
        <f ca="1">SUM(E12:E14)</f>
        <v>31162.608403110051</v>
      </c>
      <c r="F15" s="35"/>
      <c r="G15" s="34">
        <f ca="1">SUM(G12:G14)</f>
        <v>65129.8515625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11434.691884566328</v>
      </c>
      <c r="F18" s="35">
        <f>C18*G7+D18*G6</f>
        <v>1.96</v>
      </c>
      <c r="G18" s="34">
        <f ca="1">F18*E18</f>
        <v>22411.99609375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21271.705596301021</v>
      </c>
      <c r="F23" s="33">
        <f t="shared" ref="F23:F29" si="1">IF($I$22=1,C23*$C$8,C23*$G$7)+IF($J$22=1,D23*$C$6,D23*$G$6)</f>
        <v>1.96</v>
      </c>
      <c r="G23" s="32">
        <f t="shared" ca="1" si="0"/>
        <v>41692.54296875</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18376.145966198979</v>
      </c>
      <c r="F25" s="33">
        <f t="shared" si="1"/>
        <v>1.96</v>
      </c>
      <c r="G25" s="32">
        <f t="shared" ca="1" si="0"/>
        <v>36017.24609375</v>
      </c>
      <c r="I25" s="31"/>
      <c r="J25" s="31"/>
      <c r="K25" s="31"/>
    </row>
    <row r="26" spans="1:12" x14ac:dyDescent="0.2">
      <c r="B26" s="238" t="s">
        <v>47</v>
      </c>
      <c r="C26" s="239">
        <v>1</v>
      </c>
      <c r="D26" s="239">
        <v>0</v>
      </c>
      <c r="E26" s="32">
        <f ca="1">-INDEX(Economics!$A$34:$D$45,MATCH(Fuel!B26,Economics!$A$34:$A$45,0),4)/Fuel!F26</f>
        <v>14478.346221301021</v>
      </c>
      <c r="F26" s="33">
        <f t="shared" si="1"/>
        <v>1.96</v>
      </c>
      <c r="G26" s="32">
        <f t="shared" ca="1" si="0"/>
        <v>28377.55859375</v>
      </c>
      <c r="I26" s="31"/>
      <c r="J26" s="31"/>
      <c r="K26" s="31"/>
    </row>
    <row r="27" spans="1:12" x14ac:dyDescent="0.2">
      <c r="B27" s="250" t="s">
        <v>46</v>
      </c>
      <c r="C27" s="239">
        <v>1</v>
      </c>
      <c r="D27" s="239">
        <v>0</v>
      </c>
      <c r="E27" s="32">
        <f ca="1">-INDEX(Economics!$A$34:$D$45,MATCH(Fuel!B27,Economics!$A$34:$A$45,0),4)/Fuel!F27</f>
        <v>16497.969148596938</v>
      </c>
      <c r="F27" s="33">
        <f t="shared" si="1"/>
        <v>1.96</v>
      </c>
      <c r="G27" s="32">
        <f t="shared" ca="1" si="0"/>
        <v>32336.019531249996</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70624.166932397959</v>
      </c>
      <c r="F30" s="35"/>
      <c r="G30" s="34">
        <f ca="1">SUM(G22:G29)</f>
        <v>138423.3671875</v>
      </c>
      <c r="I30" s="31"/>
      <c r="J30" s="31"/>
      <c r="K30" s="31"/>
    </row>
    <row r="31" spans="1:12" x14ac:dyDescent="0.2">
      <c r="B31" s="240"/>
      <c r="I31" s="31"/>
      <c r="J31" s="31"/>
      <c r="K31" s="31"/>
    </row>
    <row r="32" spans="1:12" ht="13.5" thickBot="1" x14ac:dyDescent="0.25">
      <c r="B32" s="240" t="s">
        <v>18</v>
      </c>
      <c r="E32" s="7">
        <f ca="1">E15+E18+E30</f>
        <v>113221.46722007434</v>
      </c>
      <c r="F32" s="8"/>
      <c r="G32" s="7">
        <f ca="1">G15+G18+G30</f>
        <v>225965.21484375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495599.39999999997</v>
      </c>
      <c r="C3" s="117">
        <f ca="1">6.8*0.75*E3</f>
        <v>122104.2</v>
      </c>
      <c r="D3" s="117">
        <f ca="1">C3+B3</f>
        <v>617703.6</v>
      </c>
      <c r="E3" s="118">
        <f ca="1">SUM(Preschedule!B59:Y59)</f>
        <v>23942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-135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-3</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630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290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-16866.595200000003</v>
      </c>
      <c r="C28" s="120"/>
      <c r="D28" s="120">
        <f>C28+B28</f>
        <v>-16866.595200000003</v>
      </c>
      <c r="E28" s="114">
        <f>SUM(Preschedule!B56:Y56)</f>
        <v>1290</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-19312.128000000001</v>
      </c>
      <c r="C30" s="120"/>
      <c r="D30" s="120">
        <f>C30+B30</f>
        <v>-19312.128000000001</v>
      </c>
      <c r="E30" s="114">
        <f>SUM(Preschedule!B53:Y53)</f>
        <v>3168</v>
      </c>
      <c r="F30" s="120">
        <f>H30*I30</f>
        <v>6.0960000000000001</v>
      </c>
      <c r="G30" s="79">
        <f>-IF(E30=0,0,D30/E30)</f>
        <v>6.0960000000000001</v>
      </c>
      <c r="H30" s="134">
        <v>10.16</v>
      </c>
      <c r="I30" s="135">
        <v>0.6</v>
      </c>
    </row>
    <row r="31" spans="1:9" x14ac:dyDescent="0.2">
      <c r="A31" s="83" t="s">
        <v>44</v>
      </c>
      <c r="B31" s="120">
        <f>-F31*E31</f>
        <v>-19312.128000000001</v>
      </c>
      <c r="C31" s="120"/>
      <c r="D31" s="120">
        <f>C31+B31</f>
        <v>-19312.128000000001</v>
      </c>
      <c r="E31" s="114">
        <f>SUM(Preschedule!B54:Y54)</f>
        <v>3168</v>
      </c>
      <c r="F31" s="120">
        <f>H31*I31</f>
        <v>6.0960000000000001</v>
      </c>
      <c r="G31" s="79">
        <f>-IF(E31=0,0,D31/E31)</f>
        <v>6.0960000000000001</v>
      </c>
      <c r="H31" s="134">
        <v>10.16</v>
      </c>
      <c r="I31" s="135">
        <v>0.6</v>
      </c>
    </row>
    <row r="32" spans="1:9" x14ac:dyDescent="0.2">
      <c r="A32" s="83" t="s">
        <v>45</v>
      </c>
      <c r="B32" s="120">
        <f>-F32*E32</f>
        <v>-19306.031999999999</v>
      </c>
      <c r="C32" s="120"/>
      <c r="D32" s="120">
        <f>C32+B32</f>
        <v>-19306.031999999999</v>
      </c>
      <c r="E32" s="114">
        <f>SUM(Preschedule!B55:Y55)</f>
        <v>3167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-32336.01953125</v>
      </c>
      <c r="C34" s="120"/>
      <c r="D34" s="120">
        <f ca="1">IF(ISTEXT(B34),0,C34+B34)</f>
        <v>-32336.01953125</v>
      </c>
      <c r="E34" s="114">
        <f>SUM(Preschedule!B41:Y41)</f>
        <v>1443</v>
      </c>
      <c r="F34" s="120">
        <f ca="1">-IF(OR(ISTEXT(B34),E34=0),0,B34/E34)</f>
        <v>22.408883944040195</v>
      </c>
      <c r="G34" s="79">
        <f t="shared" ref="G34:G45" ca="1" si="6">-IF(E34=0,0,D34/E34)</f>
        <v>22.408883944040195</v>
      </c>
      <c r="H34" s="136"/>
      <c r="I34" s="135">
        <f>INDEX(FuelPriceTable,MATCH(A34,FuelNames,0),5)</f>
        <v>1.96</v>
      </c>
    </row>
    <row r="35" spans="1:9" x14ac:dyDescent="0.2">
      <c r="A35" s="83" t="s">
        <v>47</v>
      </c>
      <c r="B35" s="120">
        <f ca="1">Gencost(Preschedule!B42:Y42,OFFSET(HeatRateStart,1,MATCH(A35,HeatRateNames,0)-1,250,1),I35)</f>
        <v>-28377.55859375</v>
      </c>
      <c r="C35" s="120"/>
      <c r="D35" s="120">
        <f t="shared" ref="D35:D45" ca="1" si="7">IF(ISTEXT(B35),0,C35+B35)</f>
        <v>-28377.55859375</v>
      </c>
      <c r="E35" s="114">
        <f>SUM(Preschedule!B42:Y42)</f>
        <v>1384</v>
      </c>
      <c r="F35" s="120">
        <f t="shared" ref="F35:F45" ca="1" si="8">-IF(OR(ISTEXT(B35),E35=0),0,B35/E35)</f>
        <v>20.504016324963874</v>
      </c>
      <c r="G35" s="79">
        <f t="shared" ca="1" si="6"/>
        <v>20.504016324963874</v>
      </c>
      <c r="H35" s="136"/>
      <c r="I35" s="135">
        <f t="shared" ref="I35:I45" si="9">INDEX(FuelPriceTable,MATCH(A35,FuelNames,0),5)</f>
        <v>1.96</v>
      </c>
    </row>
    <row r="36" spans="1:9" x14ac:dyDescent="0.2">
      <c r="A36" s="83" t="s">
        <v>48</v>
      </c>
      <c r="B36" s="120">
        <f ca="1">Gencost(Preschedule!B43:Y43,OFFSET(HeatRateStart,1,MATCH(A36,HeatRateNames,0)-1,250,1),I36)</f>
        <v>-36017.24609375</v>
      </c>
      <c r="C36" s="120"/>
      <c r="D36" s="120">
        <f t="shared" ca="1" si="7"/>
        <v>-36017.24609375</v>
      </c>
      <c r="E36" s="114">
        <f>SUM(Preschedule!B43:Y43)</f>
        <v>1806</v>
      </c>
      <c r="F36" s="120">
        <f t="shared" ca="1" si="8"/>
        <v>19.943104149363233</v>
      </c>
      <c r="G36" s="79">
        <f t="shared" ca="1" si="6"/>
        <v>19.943104149363233</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-41692.54296875</v>
      </c>
      <c r="C39" s="120"/>
      <c r="D39" s="120">
        <f t="shared" ca="1" si="7"/>
        <v>-41692.54296875</v>
      </c>
      <c r="E39" s="114">
        <f>SUM(Preschedule!B46:Y46)</f>
        <v>2267</v>
      </c>
      <c r="F39" s="120">
        <f t="shared" ca="1" si="8"/>
        <v>18.391064388509044</v>
      </c>
      <c r="G39" s="79">
        <f t="shared" ca="1" si="6"/>
        <v>18.391064388509044</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-22411.99609375</v>
      </c>
      <c r="C42" s="120"/>
      <c r="D42" s="120">
        <f t="shared" ca="1" si="7"/>
        <v>-22411.99609375</v>
      </c>
      <c r="E42" s="114">
        <f>SUM(Preschedule!B49:Y49)</f>
        <v>841</v>
      </c>
      <c r="F42" s="120">
        <f t="shared" ca="1" si="8"/>
        <v>26.649222465814507</v>
      </c>
      <c r="G42" s="79">
        <f t="shared" ca="1" si="6"/>
        <v>26.649222465814507</v>
      </c>
      <c r="H42" s="136"/>
      <c r="I42" s="135">
        <f t="shared" si="9"/>
        <v>1.96</v>
      </c>
    </row>
    <row r="43" spans="1:9" x14ac:dyDescent="0.2">
      <c r="A43" s="83" t="s">
        <v>55</v>
      </c>
      <c r="B43" s="120">
        <f ca="1">Gencost(Preschedule!B50:Y50,OFFSET(HeatRateStart,1,MATCH(A43,HeatRateNames,0)-1,250,1),I43)</f>
        <v>-22735.861328125</v>
      </c>
      <c r="C43" s="120"/>
      <c r="D43" s="120">
        <f t="shared" ca="1" si="7"/>
        <v>-22735.861328125</v>
      </c>
      <c r="E43" s="114">
        <f>SUM(Preschedule!B50:Y50)</f>
        <v>892</v>
      </c>
      <c r="F43" s="120">
        <f t="shared" ca="1" si="8"/>
        <v>25.488633775924889</v>
      </c>
      <c r="G43" s="79">
        <f t="shared" ca="1" si="6"/>
        <v>25.488633775924889</v>
      </c>
      <c r="H43" s="136"/>
      <c r="I43" s="135">
        <f t="shared" si="9"/>
        <v>2.09</v>
      </c>
    </row>
    <row r="44" spans="1:9" x14ac:dyDescent="0.2">
      <c r="A44" s="83" t="s">
        <v>56</v>
      </c>
      <c r="B44" s="120">
        <f ca="1">Gencost(Preschedule!B51:Y51,OFFSET(HeatRateStart,1,MATCH(A44,HeatRateNames,0)-1,250,1),I44)</f>
        <v>-16475.9375</v>
      </c>
      <c r="C44" s="120"/>
      <c r="D44" s="120">
        <f t="shared" ca="1" si="7"/>
        <v>-16475.9375</v>
      </c>
      <c r="E44" s="114">
        <f>SUM(Preschedule!B51:Y51)</f>
        <v>740</v>
      </c>
      <c r="F44" s="120">
        <f t="shared" ca="1" si="8"/>
        <v>22.264780405405407</v>
      </c>
      <c r="G44" s="79">
        <f t="shared" ca="1" si="6"/>
        <v>22.264780405405407</v>
      </c>
      <c r="H44" s="136"/>
      <c r="I44" s="135">
        <f t="shared" si="9"/>
        <v>2.09</v>
      </c>
    </row>
    <row r="45" spans="1:9" ht="12.75" thickBot="1" x14ac:dyDescent="0.25">
      <c r="A45" s="83" t="s">
        <v>57</v>
      </c>
      <c r="B45" s="120">
        <f ca="1">Gencost(Preschedule!B52:Y52,OFFSET(HeatRateStart,1,MATCH(A45,HeatRateNames,0)-1,250,1),I45)</f>
        <v>-25918.052734375</v>
      </c>
      <c r="C45" s="120"/>
      <c r="D45" s="120">
        <f t="shared" ca="1" si="7"/>
        <v>-25918.052734375</v>
      </c>
      <c r="E45" s="114">
        <f>SUM(Preschedule!B52:Y52)</f>
        <v>1190</v>
      </c>
      <c r="F45" s="120">
        <f t="shared" ca="1" si="8"/>
        <v>21.779876247373949</v>
      </c>
      <c r="G45" s="79">
        <f t="shared" ca="1" si="6"/>
        <v>21.779876247373949</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37081.229166666664</v>
      </c>
    </row>
    <row r="32" spans="2:2" x14ac:dyDescent="0.2">
      <c r="B32" t="s">
        <v>378</v>
      </c>
    </row>
    <row r="33" spans="2:2" x14ac:dyDescent="0.2">
      <c r="B33" t="s">
        <v>382</v>
      </c>
    </row>
    <row r="34" spans="2:2" x14ac:dyDescent="0.2">
      <c r="B34" t="s">
        <v>383</v>
      </c>
    </row>
    <row r="35" spans="2:2" x14ac:dyDescent="0.2">
      <c r="B35" t="s">
        <v>362</v>
      </c>
    </row>
    <row r="36" spans="2:2" x14ac:dyDescent="0.2">
      <c r="B36" t="s">
        <v>363</v>
      </c>
    </row>
    <row r="37" spans="2:2" x14ac:dyDescent="0.2">
      <c r="B37" t="s">
        <v>384</v>
      </c>
    </row>
    <row r="38" spans="2:2" x14ac:dyDescent="0.2">
      <c r="B38" t="s">
        <v>361</v>
      </c>
    </row>
    <row r="39" spans="2:2" x14ac:dyDescent="0.2">
      <c r="B39" t="s">
        <v>366</v>
      </c>
    </row>
    <row r="40" spans="2:2" x14ac:dyDescent="0.2">
      <c r="B40" t="s">
        <v>385</v>
      </c>
    </row>
    <row r="41" spans="2:2" x14ac:dyDescent="0.2">
      <c r="B41" t="s">
        <v>386</v>
      </c>
    </row>
    <row r="42" spans="2:2" x14ac:dyDescent="0.2">
      <c r="B42" t="s">
        <v>381</v>
      </c>
    </row>
    <row r="43" spans="2:2" x14ac:dyDescent="0.2">
      <c r="B43" t="s">
        <v>379</v>
      </c>
    </row>
    <row r="44" spans="2:2" x14ac:dyDescent="0.2">
      <c r="B44" t="s">
        <v>375</v>
      </c>
    </row>
    <row r="45" spans="2:2" x14ac:dyDescent="0.2">
      <c r="B45" t="s">
        <v>380</v>
      </c>
    </row>
    <row r="46" spans="2:2" x14ac:dyDescent="0.2">
      <c r="B46" t="s">
        <v>377</v>
      </c>
    </row>
    <row r="47" spans="2:2" x14ac:dyDescent="0.2">
      <c r="B47" t="s">
        <v>376</v>
      </c>
    </row>
    <row r="48" spans="2:2" x14ac:dyDescent="0.2">
      <c r="B48" t="s">
        <v>387</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2001-04-04T07:52:53Z</cp:lastPrinted>
  <dcterms:created xsi:type="dcterms:W3CDTF">1998-02-07T06:53:21Z</dcterms:created>
  <dcterms:modified xsi:type="dcterms:W3CDTF">2023-09-10T14:10:47Z</dcterms:modified>
</cp:coreProperties>
</file>